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 ONCO" sheetId="7" r:id="rId7"/>
    <sheet name="ONCO" sheetId="8" r:id="rId8"/>
    <sheet name="POSTT" sheetId="9" r:id="rId9"/>
    <sheet name="SCLEROZ" sheetId="10" r:id="rId10"/>
    <sheet name="CV UNICE" sheetId="11" r:id="rId11"/>
    <sheet name="MUCOV" sheetId="12" r:id="rId12"/>
  </sheets>
  <definedNames>
    <definedName name="_xlnm.Print_Area" localSheetId="6">'COST VOLUM ONCO'!$A$1:$I$40</definedName>
    <definedName name="_xlnm.Print_Area" localSheetId="10">'CV UNICE'!$A$1:$I$40</definedName>
  </definedNames>
  <calcPr fullCalcOnLoad="1"/>
</workbook>
</file>

<file path=xl/sharedStrings.xml><?xml version="1.0" encoding="utf-8"?>
<sst xmlns="http://schemas.openxmlformats.org/spreadsheetml/2006/main" count="491" uniqueCount="84">
  <si>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</si>
  <si>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</si>
  <si>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</si>
  <si>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</si>
  <si>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</si>
  <si>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</si>
  <si>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</si>
  <si>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</si>
  <si>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</si>
  <si>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KOL-KING</t>
  </si>
  <si>
    <t>MEDICOM</t>
  </si>
  <si>
    <t>SALVIA</t>
  </si>
  <si>
    <t>TRANSFARM</t>
  </si>
  <si>
    <t>AMBROSIA</t>
  </si>
  <si>
    <t>SIEPCOFAR-DONA</t>
  </si>
  <si>
    <t>SALVATOR</t>
  </si>
  <si>
    <t>MARIA</t>
  </si>
  <si>
    <t>HERMANN</t>
  </si>
  <si>
    <t>FARMIRA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</si>
  <si>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</si>
  <si>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</si>
  <si>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</si>
  <si>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</si>
  <si>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</si>
  <si>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</si>
  <si>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</si>
  <si>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</si>
  <si>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</si>
  <si>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</si>
  <si>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</si>
  <si>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</si>
  <si>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</si>
  <si>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</si>
  <si>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</si>
  <si>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</si>
  <si>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</si>
  <si>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</si>
  <si>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</si>
  <si>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</si>
  <si>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</si>
  <si>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</si>
  <si>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</si>
  <si>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ECOFARMACIA NETWORK</t>
  </si>
  <si>
    <t>Total consum unice</t>
  </si>
  <si>
    <t>KINCSOPHARM</t>
  </si>
  <si>
    <t>KAMILLA PLUS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</si>
  <si>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</si>
  <si>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</si>
  <si>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</si>
  <si>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</si>
  <si>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</si>
  <si>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</si>
  <si>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</si>
  <si>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</si>
  <si>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</si>
  <si>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</si>
  <si>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</si>
  <si>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</si>
  <si>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</si>
  <si>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</si>
  <si>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</si>
  <si>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</si>
  <si>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IANUARIE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</si>
  <si>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</si>
  <si>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</si>
  <si>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</si>
  <si>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</si>
  <si>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</si>
  <si>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</si>
  <si>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</si>
  <si>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>UNICE COST VOLUM</t>
  </si>
  <si>
    <t>SITUATIA CONSUMULUI DE MEDICAMENTE IN LUNA  FEBRUARIE 2020</t>
  </si>
  <si>
    <t>SITUATIA CONSUMULUI DE MEDICAMENTE PENTRU PENSIONARI PANA LA 1139 LEI FEBRUARIE 2020</t>
  </si>
  <si>
    <t>SITUATIA CONSUMULUI DE MEDICAMENTE PENTRU DIABET   LUNA FEBRUARIE 2020</t>
  </si>
  <si>
    <t>SITUATIA CONSUMULUI DE MEDICAMENTE PENTRU INSULINE LUNA FEBRUARIE 2020</t>
  </si>
  <si>
    <t>SITUATIA CONSUMULUI DE MEDICAMENTE LA  DIABET SI INSULINE FEBRUARIE 2020</t>
  </si>
  <si>
    <t>SITUATIA CONSUMULUI LA TESTE PENTRU LUNA FEBRUARIE 2020</t>
  </si>
  <si>
    <t>SITUATIA CONSUMULUI DE MEDICAMENTE PENTRU PNS COST VOLUM   LUNA FEBRUARIE 2020</t>
  </si>
  <si>
    <t>SITUATIA CONSUMULUI DE MEDICAMENTE PENTRU ONCOLOGIE  LUNA FEBRUARIE 2020</t>
  </si>
  <si>
    <t>SITUATIA CONSUMULUI DE MEDICAMENTE LA STARI POSTTRANSPLANT FEBRUARIE 2020</t>
  </si>
  <si>
    <t>SITUATIA CONSUMULUI DE MEDICAMENTE PENTRU SCLEROZA   LUNA FEBRUARIE 2020</t>
  </si>
  <si>
    <t>SITUATIA CONSUMULUI DE MEDIC. PENTRU UNICE COST VOLUM   LUNA FEBRUARIE 2020</t>
  </si>
  <si>
    <t>SITUATIA CONSUMULUI DE MEDICAMENTE LA STARI MUCOVISCIDOZA FEBRUARIE 2020</t>
  </si>
  <si>
    <t xml:space="preserve">CONSUM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</si>
</sst>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7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5" fillId="0" borderId="0" xfId="0" applyNumberFormat="1" applyFont="1" applyAlignment="1">
      <alignment/>
    </xf>
    <xf numFmtId="4" fontId="12" fillId="0" borderId="7" xfId="0" applyNumberFormat="1" applyFont="1" applyFill="1" applyBorder="1" applyAlignment="1">
      <alignment/>
    </xf>
    <xf numFmtId="4" fontId="12" fillId="0" borderId="8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D270"/>
  <sheetViews>
    <sheetView tabSelected="1" workbookViewId="0" topLeftCell="M1">
      <selection activeCell="T1" sqref="T1:V16384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7" bestFit="1" customWidth="1"/>
    <col min="9" max="9" width="12.140625" style="0" customWidth="1"/>
    <col min="10" max="10" width="14.140625" style="0" bestFit="1" customWidth="1"/>
    <col min="11" max="11" width="14.28125" style="0" bestFit="1" customWidth="1"/>
    <col min="12" max="12" width="15.57421875" style="0" bestFit="1" customWidth="1"/>
    <col min="13" max="13" width="16.8515625" style="0" customWidth="1"/>
    <col min="14" max="14" width="15.57421875" style="0" customWidth="1"/>
    <col min="15" max="15" width="15.57421875" style="0" bestFit="1" customWidth="1"/>
    <col min="16" max="16" width="17.28125" style="0" bestFit="1" customWidth="1"/>
    <col min="17" max="17" width="16.00390625" style="0" bestFit="1" customWidth="1"/>
    <col min="18" max="18" width="18.421875" style="0" bestFit="1" customWidth="1"/>
    <col min="19" max="19" width="18.421875" style="12" bestFit="1" customWidth="1"/>
    <col min="20" max="20" width="9.140625" style="4" customWidth="1"/>
    <col min="21" max="21" width="11.7109375" style="4" bestFit="1" customWidth="1"/>
    <col min="22" max="56" width="9.140625" style="4" customWidth="1"/>
  </cols>
  <sheetData>
    <row r="3" spans="2:19" ht="15.75">
      <c r="B3" s="19" t="s">
        <v>71</v>
      </c>
      <c r="C3" s="20"/>
      <c r="D3" s="20"/>
      <c r="E3" s="20"/>
      <c r="F3" s="21"/>
      <c r="G3" s="21"/>
      <c r="H3" s="22"/>
      <c r="I3" s="20"/>
      <c r="J3" s="20"/>
      <c r="K3" s="20"/>
      <c r="L3" s="20"/>
      <c r="M3" s="20"/>
      <c r="N3" s="20"/>
      <c r="O3" s="20"/>
      <c r="P3" s="20"/>
      <c r="Q3" s="20"/>
      <c r="R3" s="23"/>
      <c r="S3" s="24"/>
    </row>
    <row r="4" spans="1:19" ht="31.5">
      <c r="A4" s="50" t="s">
        <v>0</v>
      </c>
      <c r="B4" s="51" t="s">
        <v>1</v>
      </c>
      <c r="C4" s="52" t="s">
        <v>2</v>
      </c>
      <c r="D4" s="52" t="s">
        <v>3</v>
      </c>
      <c r="E4" s="52" t="s">
        <v>4</v>
      </c>
      <c r="F4" s="52" t="s">
        <v>5</v>
      </c>
      <c r="G4" s="52" t="s">
        <v>46</v>
      </c>
      <c r="H4" s="53" t="s">
        <v>48</v>
      </c>
      <c r="I4" s="52" t="s">
        <v>49</v>
      </c>
      <c r="J4" s="52" t="s">
        <v>53</v>
      </c>
      <c r="K4" s="52" t="s">
        <v>50</v>
      </c>
      <c r="L4" s="52" t="s">
        <v>51</v>
      </c>
      <c r="M4" s="52" t="s">
        <v>56</v>
      </c>
      <c r="N4" s="52" t="s">
        <v>54</v>
      </c>
      <c r="O4" s="52" t="s">
        <v>52</v>
      </c>
      <c r="P4" s="52" t="s">
        <v>55</v>
      </c>
      <c r="Q4" s="52" t="s">
        <v>58</v>
      </c>
      <c r="R4" s="54" t="s">
        <v>43</v>
      </c>
      <c r="S4" s="53" t="s">
        <v>57</v>
      </c>
    </row>
    <row r="5" spans="1:21" ht="15.75">
      <c r="A5" s="55">
        <v>1</v>
      </c>
      <c r="B5" s="56" t="s">
        <v>6</v>
      </c>
      <c r="C5" s="25">
        <f>38306.71+8026.92+3080.66+336.03</f>
        <v>49750.31999999999</v>
      </c>
      <c r="D5" s="25">
        <f>44103.5+5241+3952.79+186.25</f>
        <v>53483.54</v>
      </c>
      <c r="E5" s="25">
        <f>56487.9+4739.92+4931.18+188.16</f>
        <v>66347.16</v>
      </c>
      <c r="F5" s="25">
        <f>3223.51+488.42+473</f>
        <v>4184.93</v>
      </c>
      <c r="G5" s="25">
        <f>4954.24+399.98+438.68+41.42</f>
        <v>5834.32</v>
      </c>
      <c r="H5" s="26">
        <v>742.71</v>
      </c>
      <c r="I5" s="25"/>
      <c r="J5" s="25"/>
      <c r="K5" s="25">
        <v>5357.96</v>
      </c>
      <c r="L5" s="25">
        <v>29077.94</v>
      </c>
      <c r="M5" s="25"/>
      <c r="N5" s="25">
        <v>4639.36</v>
      </c>
      <c r="O5" s="25"/>
      <c r="P5" s="25">
        <v>9278.72</v>
      </c>
      <c r="Q5" s="57">
        <f>H5+I5+J5+K5+L5+M5+N5+O5+P5</f>
        <v>49096.69</v>
      </c>
      <c r="R5" s="58">
        <f aca="true" t="shared" si="0" ref="R5:R39">C5+D5+E5+F5+G5+H5+I5+J5+K5+L5+M5+N5+O5+P5</f>
        <v>228696.95999999996</v>
      </c>
      <c r="S5" s="59">
        <f>R5-Q5</f>
        <v>179600.26999999996</v>
      </c>
      <c r="U5" s="62"/>
    </row>
    <row r="6" spans="1:21" ht="15.75">
      <c r="A6" s="55">
        <v>2</v>
      </c>
      <c r="B6" s="56" t="s">
        <v>7</v>
      </c>
      <c r="C6" s="25">
        <f>11775.36+7431.57</f>
        <v>19206.93</v>
      </c>
      <c r="D6" s="25">
        <f>13142.54+6922.04</f>
        <v>20064.58</v>
      </c>
      <c r="E6" s="25">
        <f>3598.16+5443.14</f>
        <v>9041.3</v>
      </c>
      <c r="F6" s="25">
        <f>860.24+502.75</f>
        <v>1362.99</v>
      </c>
      <c r="G6" s="25">
        <f>1782.12+985.79</f>
        <v>2767.91</v>
      </c>
      <c r="H6" s="26">
        <v>2976.16</v>
      </c>
      <c r="I6" s="25"/>
      <c r="J6" s="25"/>
      <c r="K6" s="25"/>
      <c r="L6" s="25">
        <v>2678.98</v>
      </c>
      <c r="M6" s="25"/>
      <c r="N6" s="25">
        <v>3299.87</v>
      </c>
      <c r="O6" s="25"/>
      <c r="P6" s="25"/>
      <c r="Q6" s="57">
        <f aca="true" t="shared" si="1" ref="Q6:Q39">H6+I6+J6+K6+L6+M6+N6+O6+P6</f>
        <v>8955.009999999998</v>
      </c>
      <c r="R6" s="58">
        <f t="shared" si="0"/>
        <v>61398.72</v>
      </c>
      <c r="S6" s="59">
        <f aca="true" t="shared" si="2" ref="S6:S39">R6-Q6</f>
        <v>52443.71000000001</v>
      </c>
      <c r="U6" s="62"/>
    </row>
    <row r="7" spans="1:21" ht="15.75">
      <c r="A7" s="55">
        <v>3</v>
      </c>
      <c r="B7" s="56" t="s">
        <v>8</v>
      </c>
      <c r="C7" s="25">
        <f>8098.02+6618.46+6250.23+10454.77+2603.26</f>
        <v>34024.74</v>
      </c>
      <c r="D7" s="25">
        <f>11127.02+5563.18+6777.81+8509.97+1469.68</f>
        <v>33447.66</v>
      </c>
      <c r="E7" s="25">
        <f>3705+3630.98+873.27+4329.52+148.69</f>
        <v>12687.460000000001</v>
      </c>
      <c r="F7" s="25">
        <f>3197.81+1889.91+1930.15+3201.8+1668.34</f>
        <v>11888.010000000002</v>
      </c>
      <c r="G7" s="25">
        <f>1495.41+385.46+294.63+900.84+153.39</f>
        <v>3229.73</v>
      </c>
      <c r="H7" s="26"/>
      <c r="I7" s="25"/>
      <c r="J7" s="25"/>
      <c r="K7" s="25"/>
      <c r="L7" s="25"/>
      <c r="M7" s="25"/>
      <c r="N7" s="25"/>
      <c r="O7" s="25"/>
      <c r="P7" s="25"/>
      <c r="Q7" s="57">
        <f t="shared" si="1"/>
        <v>0</v>
      </c>
      <c r="R7" s="58">
        <f t="shared" si="0"/>
        <v>95277.59999999999</v>
      </c>
      <c r="S7" s="59">
        <f t="shared" si="2"/>
        <v>95277.59999999999</v>
      </c>
      <c r="U7" s="62"/>
    </row>
    <row r="8" spans="1:21" ht="15.75">
      <c r="A8" s="55">
        <v>4</v>
      </c>
      <c r="B8" s="56" t="s">
        <v>9</v>
      </c>
      <c r="C8" s="25">
        <f>6087.29+7052.44+5877.59</f>
        <v>19017.32</v>
      </c>
      <c r="D8" s="25">
        <f>4203.15+6800.78+6032.2</f>
        <v>17036.13</v>
      </c>
      <c r="E8" s="25">
        <f>3164.4+3418.63+2519.7</f>
        <v>9102.73</v>
      </c>
      <c r="F8" s="25">
        <f>2076.38+498.62+972.92</f>
        <v>3547.92</v>
      </c>
      <c r="G8" s="25">
        <f>1250.57+720.19+642.98</f>
        <v>2613.74</v>
      </c>
      <c r="H8" s="26"/>
      <c r="I8" s="25"/>
      <c r="J8" s="25"/>
      <c r="K8" s="25"/>
      <c r="L8" s="25"/>
      <c r="M8" s="25"/>
      <c r="N8" s="25"/>
      <c r="O8" s="25"/>
      <c r="P8" s="25"/>
      <c r="Q8" s="57">
        <f t="shared" si="1"/>
        <v>0</v>
      </c>
      <c r="R8" s="58">
        <f t="shared" si="0"/>
        <v>51317.83999999999</v>
      </c>
      <c r="S8" s="59">
        <f t="shared" si="2"/>
        <v>51317.83999999999</v>
      </c>
      <c r="U8" s="62"/>
    </row>
    <row r="9" spans="1:21" ht="15.75">
      <c r="A9" s="55">
        <v>5</v>
      </c>
      <c r="B9" s="56" t="s">
        <v>10</v>
      </c>
      <c r="C9" s="25">
        <v>19069.62</v>
      </c>
      <c r="D9" s="25">
        <v>27347.01</v>
      </c>
      <c r="E9" s="25">
        <v>30385.72</v>
      </c>
      <c r="F9" s="26">
        <v>1979.74</v>
      </c>
      <c r="G9" s="25">
        <v>3192.17</v>
      </c>
      <c r="H9" s="26">
        <v>247.57</v>
      </c>
      <c r="J9" s="25"/>
      <c r="K9" s="25"/>
      <c r="L9" s="25"/>
      <c r="M9" s="25"/>
      <c r="N9" s="25"/>
      <c r="O9" s="25"/>
      <c r="P9" s="25"/>
      <c r="Q9" s="57">
        <f t="shared" si="1"/>
        <v>247.57</v>
      </c>
      <c r="R9" s="58">
        <f t="shared" si="0"/>
        <v>82221.83000000002</v>
      </c>
      <c r="S9" s="59">
        <f t="shared" si="2"/>
        <v>81974.26000000001</v>
      </c>
      <c r="U9" s="62"/>
    </row>
    <row r="10" spans="1:23" ht="15.75">
      <c r="A10" s="55">
        <v>6</v>
      </c>
      <c r="B10" s="56" t="s">
        <v>11</v>
      </c>
      <c r="C10" s="25">
        <f>16530.06+15389.89+4903.19+8245.95+15605.3</f>
        <v>60674.39</v>
      </c>
      <c r="D10" s="25">
        <f>22446.05+14780.47+5577.44+5735.83+17197.39</f>
        <v>65737.18</v>
      </c>
      <c r="E10" s="25">
        <f>27713.96+9839.73+4859.98+3421.4+46605.48</f>
        <v>92440.55</v>
      </c>
      <c r="F10" s="25">
        <f>2919.8+4155.49+494.93+2448.41+2811.12</f>
        <v>12829.75</v>
      </c>
      <c r="G10" s="25">
        <f>1930.27+1434.78+685.82+414.11+2130.26</f>
        <v>6595.240000000001</v>
      </c>
      <c r="H10" s="26">
        <f>1931.85+241.72</f>
        <v>2173.5699999999997</v>
      </c>
      <c r="I10" s="25"/>
      <c r="J10" s="25"/>
      <c r="K10" s="25">
        <v>3868.52</v>
      </c>
      <c r="L10" s="25">
        <f>3260.32+7832.86+2678.98</f>
        <v>13772.16</v>
      </c>
      <c r="M10" s="25">
        <v>1339.49</v>
      </c>
      <c r="N10" s="25">
        <f>6538.43+2678.98</f>
        <v>9217.41</v>
      </c>
      <c r="O10" s="25"/>
      <c r="P10" s="25"/>
      <c r="Q10" s="57">
        <f t="shared" si="1"/>
        <v>30371.15</v>
      </c>
      <c r="R10" s="58">
        <f t="shared" si="0"/>
        <v>268648.25999999995</v>
      </c>
      <c r="S10" s="59">
        <f t="shared" si="2"/>
        <v>238277.10999999996</v>
      </c>
      <c r="U10" s="62"/>
      <c r="W10" s="66"/>
    </row>
    <row r="11" spans="1:21" ht="15.75">
      <c r="A11" s="55">
        <v>7</v>
      </c>
      <c r="B11" s="56" t="s">
        <v>59</v>
      </c>
      <c r="C11" s="25">
        <f>17129.35+16559.31+6573.01+7866+7835.35+2318.5+4965.47</f>
        <v>63246.990000000005</v>
      </c>
      <c r="D11" s="25">
        <f>26997.63+18622.31+6776.68+8844.14+7561.54+2266.01+4839.5</f>
        <v>75907.81</v>
      </c>
      <c r="E11" s="25">
        <f>12202.59+13571.49+813.15+5184.91+6246.21+837.6+2900.04</f>
        <v>41755.990000000005</v>
      </c>
      <c r="F11" s="25">
        <f>2099.14+3159.81+1153.82+1348.31+921.19+124.29+2353.32</f>
        <v>11159.880000000001</v>
      </c>
      <c r="G11" s="25">
        <f>3138.36+1660.81+850.02+1156.33+695.73+170.35+238.17</f>
        <v>7909.77</v>
      </c>
      <c r="H11" s="26">
        <f>742.71+247.57</f>
        <v>990.28</v>
      </c>
      <c r="I11" s="25"/>
      <c r="J11" s="25"/>
      <c r="K11" s="25">
        <v>2678.98</v>
      </c>
      <c r="L11" s="25">
        <v>2678.98</v>
      </c>
      <c r="M11" s="25"/>
      <c r="N11" s="25">
        <v>2678.98</v>
      </c>
      <c r="O11" s="25"/>
      <c r="P11" s="25"/>
      <c r="Q11" s="57">
        <f t="shared" si="1"/>
        <v>9027.22</v>
      </c>
      <c r="R11" s="58">
        <f t="shared" si="0"/>
        <v>209007.66</v>
      </c>
      <c r="S11" s="59">
        <f t="shared" si="2"/>
        <v>199980.44</v>
      </c>
      <c r="U11" s="62"/>
    </row>
    <row r="12" spans="1:21" ht="15.75">
      <c r="A12" s="55">
        <v>8</v>
      </c>
      <c r="B12" s="56" t="s">
        <v>12</v>
      </c>
      <c r="C12" s="25">
        <v>14876.61</v>
      </c>
      <c r="D12" s="25">
        <v>30953.94</v>
      </c>
      <c r="E12" s="25">
        <v>30627.83</v>
      </c>
      <c r="F12" s="25">
        <v>1121.13</v>
      </c>
      <c r="G12" s="25">
        <v>1169.71</v>
      </c>
      <c r="H12" s="26">
        <v>1883.12</v>
      </c>
      <c r="I12" s="25"/>
      <c r="J12" s="25"/>
      <c r="K12" s="25"/>
      <c r="L12" s="25">
        <v>10869.33</v>
      </c>
      <c r="M12" s="25"/>
      <c r="N12" s="25">
        <v>9239.17</v>
      </c>
      <c r="O12" s="25"/>
      <c r="P12" s="25"/>
      <c r="Q12" s="57">
        <f t="shared" si="1"/>
        <v>21991.620000000003</v>
      </c>
      <c r="R12" s="58">
        <f t="shared" si="0"/>
        <v>100740.84000000001</v>
      </c>
      <c r="S12" s="59">
        <f t="shared" si="2"/>
        <v>78749.22</v>
      </c>
      <c r="U12" s="62"/>
    </row>
    <row r="13" spans="1:21" ht="15.75">
      <c r="A13" s="55">
        <v>9</v>
      </c>
      <c r="B13" s="56" t="s">
        <v>13</v>
      </c>
      <c r="C13" s="25">
        <f>13762.58+1148.47+10583.94</f>
        <v>25494.989999999998</v>
      </c>
      <c r="D13" s="27">
        <f>17109.85+1104.1+13142.13</f>
        <v>31356.079999999994</v>
      </c>
      <c r="E13" s="25">
        <f>21670.46+517.25+6178.38</f>
        <v>28366.09</v>
      </c>
      <c r="F13" s="25">
        <f>1738.22+169.62+1925.67</f>
        <v>3833.51</v>
      </c>
      <c r="G13" s="25">
        <f>1878.03+95.38+1185.75</f>
        <v>3159.16</v>
      </c>
      <c r="H13" s="26">
        <v>3223.73</v>
      </c>
      <c r="I13" s="25"/>
      <c r="J13" s="25"/>
      <c r="K13" s="25"/>
      <c r="L13" s="25"/>
      <c r="M13" s="25"/>
      <c r="N13" s="25"/>
      <c r="O13" s="25"/>
      <c r="P13" s="25"/>
      <c r="Q13" s="57">
        <f t="shared" si="1"/>
        <v>3223.73</v>
      </c>
      <c r="R13" s="58">
        <f t="shared" si="0"/>
        <v>95433.55999999998</v>
      </c>
      <c r="S13" s="59">
        <f t="shared" si="2"/>
        <v>92209.82999999999</v>
      </c>
      <c r="U13" s="62"/>
    </row>
    <row r="14" spans="1:21" ht="15.75">
      <c r="A14" s="55">
        <v>10</v>
      </c>
      <c r="B14" s="56" t="s">
        <v>14</v>
      </c>
      <c r="C14" s="25">
        <f>18835.71+19519.53+25216.6</f>
        <v>63571.84</v>
      </c>
      <c r="D14" s="25">
        <f>19993.3+22346.36+32952.05</f>
        <v>75291.71</v>
      </c>
      <c r="E14" s="25">
        <f>10913.61+7167.81+14929.84</f>
        <v>33011.26</v>
      </c>
      <c r="F14" s="25">
        <f>3079.56+2027.59+2688.11</f>
        <v>7795.26</v>
      </c>
      <c r="G14" s="25">
        <f>2606.92+2380.34+2435.94</f>
        <v>7423.200000000001</v>
      </c>
      <c r="H14" s="26">
        <f>247.57+247.57</f>
        <v>495.14</v>
      </c>
      <c r="I14" s="25"/>
      <c r="J14" s="25"/>
      <c r="K14" s="25">
        <v>2678.98</v>
      </c>
      <c r="L14" s="25">
        <v>2678.98</v>
      </c>
      <c r="M14" s="25">
        <f>2678.98</f>
        <v>2678.98</v>
      </c>
      <c r="N14" s="25">
        <v>14636.68</v>
      </c>
      <c r="O14" s="25">
        <v>1815.63</v>
      </c>
      <c r="P14" s="25"/>
      <c r="Q14" s="57">
        <f t="shared" si="1"/>
        <v>24984.390000000003</v>
      </c>
      <c r="R14" s="58">
        <f t="shared" si="0"/>
        <v>212077.66000000006</v>
      </c>
      <c r="S14" s="59">
        <f t="shared" si="2"/>
        <v>187093.27000000005</v>
      </c>
      <c r="U14" s="62"/>
    </row>
    <row r="15" spans="1:21" ht="15.75">
      <c r="A15" s="55">
        <v>11</v>
      </c>
      <c r="B15" s="56" t="s">
        <v>15</v>
      </c>
      <c r="C15" s="25">
        <v>30212.17</v>
      </c>
      <c r="D15" s="25">
        <v>36082.69</v>
      </c>
      <c r="E15" s="25">
        <v>21846.04</v>
      </c>
      <c r="F15" s="25">
        <v>4531.8</v>
      </c>
      <c r="G15" s="25">
        <v>4694.07</v>
      </c>
      <c r="H15" s="26"/>
      <c r="I15" s="25"/>
      <c r="J15" s="25"/>
      <c r="K15" s="25"/>
      <c r="L15" s="25"/>
      <c r="M15" s="25"/>
      <c r="N15" s="25"/>
      <c r="O15" s="25"/>
      <c r="P15" s="25"/>
      <c r="Q15" s="57">
        <f t="shared" si="1"/>
        <v>0</v>
      </c>
      <c r="R15" s="58">
        <f t="shared" si="0"/>
        <v>97366.76999999999</v>
      </c>
      <c r="S15" s="59">
        <f t="shared" si="2"/>
        <v>97366.76999999999</v>
      </c>
      <c r="U15" s="62"/>
    </row>
    <row r="16" spans="1:22" ht="15.75">
      <c r="A16" s="55">
        <v>12</v>
      </c>
      <c r="B16" s="56" t="s">
        <v>16</v>
      </c>
      <c r="C16" s="25">
        <v>25489.77</v>
      </c>
      <c r="D16" s="25">
        <v>15399.26</v>
      </c>
      <c r="E16" s="25">
        <v>8370.69</v>
      </c>
      <c r="F16" s="25">
        <v>4456.4</v>
      </c>
      <c r="G16" s="25">
        <v>1800.27</v>
      </c>
      <c r="H16" s="26"/>
      <c r="I16" s="25"/>
      <c r="J16" s="25"/>
      <c r="K16" s="25"/>
      <c r="L16" s="25"/>
      <c r="M16" s="25"/>
      <c r="N16" s="25"/>
      <c r="O16" s="25"/>
      <c r="P16" s="25"/>
      <c r="Q16" s="57">
        <f t="shared" si="1"/>
        <v>0</v>
      </c>
      <c r="R16" s="58">
        <f t="shared" si="0"/>
        <v>55516.39</v>
      </c>
      <c r="S16" s="59">
        <f t="shared" si="2"/>
        <v>55516.39</v>
      </c>
      <c r="T16" s="11"/>
      <c r="U16" s="62"/>
      <c r="V16" s="11"/>
    </row>
    <row r="17" spans="1:21" ht="15.75">
      <c r="A17" s="55">
        <v>13</v>
      </c>
      <c r="B17" s="56" t="s">
        <v>17</v>
      </c>
      <c r="C17" s="25">
        <f>41552.43+13324.57</f>
        <v>54877</v>
      </c>
      <c r="D17" s="25">
        <f>32363.46+10895.77</f>
        <v>43259.229999999996</v>
      </c>
      <c r="E17" s="25">
        <f>24772.09+9632.19</f>
        <v>34404.28</v>
      </c>
      <c r="F17" s="25">
        <f>10202.82+2074.19</f>
        <v>12277.01</v>
      </c>
      <c r="G17" s="25">
        <f>3105.22+489.05</f>
        <v>3594.27</v>
      </c>
      <c r="H17" s="26"/>
      <c r="I17" s="25"/>
      <c r="J17" s="25"/>
      <c r="K17" s="25"/>
      <c r="L17" s="25"/>
      <c r="M17" s="25"/>
      <c r="N17" s="25"/>
      <c r="O17" s="25"/>
      <c r="P17" s="25"/>
      <c r="Q17" s="57">
        <f t="shared" si="1"/>
        <v>0</v>
      </c>
      <c r="R17" s="58">
        <f t="shared" si="0"/>
        <v>148411.79</v>
      </c>
      <c r="S17" s="59">
        <f t="shared" si="2"/>
        <v>148411.79</v>
      </c>
      <c r="U17" s="62"/>
    </row>
    <row r="18" spans="1:21" ht="15.75">
      <c r="A18" s="55">
        <v>14</v>
      </c>
      <c r="B18" s="56" t="s">
        <v>18</v>
      </c>
      <c r="C18" s="25">
        <f>12060.32+4760.37</f>
        <v>16820.69</v>
      </c>
      <c r="D18" s="25">
        <f>12841.18+3681.07</f>
        <v>16522.25</v>
      </c>
      <c r="E18" s="25">
        <f>4741.99+1713.98</f>
        <v>6455.969999999999</v>
      </c>
      <c r="F18" s="25">
        <f>2823.04+1080.85</f>
        <v>3903.89</v>
      </c>
      <c r="G18" s="25">
        <f>1489.56+622.33</f>
        <v>2111.89</v>
      </c>
      <c r="H18" s="28"/>
      <c r="I18" s="25"/>
      <c r="J18" s="25"/>
      <c r="K18" s="25"/>
      <c r="L18" s="25"/>
      <c r="M18" s="25"/>
      <c r="N18" s="25"/>
      <c r="O18" s="25"/>
      <c r="P18" s="25"/>
      <c r="Q18" s="57">
        <f t="shared" si="1"/>
        <v>0</v>
      </c>
      <c r="R18" s="58">
        <f t="shared" si="0"/>
        <v>45814.69</v>
      </c>
      <c r="S18" s="59">
        <f t="shared" si="2"/>
        <v>45814.69</v>
      </c>
      <c r="U18" s="62"/>
    </row>
    <row r="19" spans="1:21" ht="15.75">
      <c r="A19" s="55">
        <v>15</v>
      </c>
      <c r="B19" s="56" t="s">
        <v>19</v>
      </c>
      <c r="C19" s="25">
        <v>1671.6</v>
      </c>
      <c r="D19" s="25">
        <v>1074.26</v>
      </c>
      <c r="E19" s="25">
        <v>388.73</v>
      </c>
      <c r="F19" s="65">
        <v>180.28</v>
      </c>
      <c r="G19" s="64">
        <v>243.29</v>
      </c>
      <c r="H19" s="26"/>
      <c r="I19" s="25"/>
      <c r="J19" s="25"/>
      <c r="K19" s="25"/>
      <c r="L19" s="25"/>
      <c r="M19" s="25"/>
      <c r="N19" s="25"/>
      <c r="O19" s="25"/>
      <c r="P19" s="25"/>
      <c r="Q19" s="57">
        <f t="shared" si="1"/>
        <v>0</v>
      </c>
      <c r="R19" s="58">
        <f t="shared" si="0"/>
        <v>3558.16</v>
      </c>
      <c r="S19" s="59">
        <f t="shared" si="2"/>
        <v>3558.16</v>
      </c>
      <c r="U19" s="62"/>
    </row>
    <row r="20" spans="1:21" ht="15.75">
      <c r="A20" s="55">
        <v>16</v>
      </c>
      <c r="B20" s="56" t="s">
        <v>20</v>
      </c>
      <c r="C20" s="25">
        <f>2439.14+3422.64+2116.61+2484.29</f>
        <v>10462.68</v>
      </c>
      <c r="D20" s="25">
        <f>4207.41+4789.08+1806.88+2777.24</f>
        <v>13580.609999999999</v>
      </c>
      <c r="E20" s="25">
        <f>1158.92+487.44+1429.01+669.23</f>
        <v>3744.6</v>
      </c>
      <c r="F20" s="25">
        <f>1239.91+1036.68+395.4+1302.83</f>
        <v>3974.82</v>
      </c>
      <c r="G20" s="25">
        <f>361.71+504.77+219.31+732.03</f>
        <v>1817.82</v>
      </c>
      <c r="H20" s="26"/>
      <c r="I20" s="25"/>
      <c r="J20" s="25"/>
      <c r="K20" s="25"/>
      <c r="L20" s="25"/>
      <c r="M20" s="25"/>
      <c r="N20" s="25"/>
      <c r="O20" s="25"/>
      <c r="P20" s="25"/>
      <c r="Q20" s="57">
        <f t="shared" si="1"/>
        <v>0</v>
      </c>
      <c r="R20" s="58">
        <f t="shared" si="0"/>
        <v>33580.53</v>
      </c>
      <c r="S20" s="59">
        <f t="shared" si="2"/>
        <v>33580.53</v>
      </c>
      <c r="U20" s="62"/>
    </row>
    <row r="21" spans="1:21" ht="15.75">
      <c r="A21" s="55">
        <v>17</v>
      </c>
      <c r="B21" s="56" t="s">
        <v>21</v>
      </c>
      <c r="C21" s="25">
        <v>17695.13</v>
      </c>
      <c r="D21" s="25">
        <v>18050.03</v>
      </c>
      <c r="E21" s="25">
        <v>10879.21</v>
      </c>
      <c r="F21" s="25">
        <v>2335.47</v>
      </c>
      <c r="G21" s="25">
        <v>2801.48</v>
      </c>
      <c r="H21" s="26">
        <v>1131.82</v>
      </c>
      <c r="I21" s="25"/>
      <c r="J21" s="25"/>
      <c r="K21" s="25"/>
      <c r="L21" s="25"/>
      <c r="M21" s="25"/>
      <c r="N21" s="25">
        <v>3859.45</v>
      </c>
      <c r="O21" s="25"/>
      <c r="P21" s="25"/>
      <c r="Q21" s="57">
        <f t="shared" si="1"/>
        <v>4991.2699999999995</v>
      </c>
      <c r="R21" s="58">
        <f t="shared" si="0"/>
        <v>56752.590000000004</v>
      </c>
      <c r="S21" s="59">
        <f t="shared" si="2"/>
        <v>51761.32000000001</v>
      </c>
      <c r="U21" s="62"/>
    </row>
    <row r="22" spans="1:21" ht="15.75">
      <c r="A22" s="55">
        <v>18</v>
      </c>
      <c r="B22" s="56" t="s">
        <v>22</v>
      </c>
      <c r="C22" s="25">
        <f>19284.12+7141.75+18167.43+4228.93+6972.81+3385.33</f>
        <v>59180.37</v>
      </c>
      <c r="D22" s="25">
        <f>25742.41+6278.38+17947.62+5501.71+4193.58+3264.18</f>
        <v>62927.880000000005</v>
      </c>
      <c r="E22" s="25">
        <f>22394.5+2017.77+12646.14+2406.43+709.64+2515.85</f>
        <v>42690.33</v>
      </c>
      <c r="F22" s="25">
        <f>3509.33+4117.39+3091.23+792.36+7024.42+444.25</f>
        <v>18978.980000000003</v>
      </c>
      <c r="G22" s="25">
        <f>3083.95+622.61+2786.04+894.56+95.46+311.55</f>
        <v>7794.17</v>
      </c>
      <c r="H22" s="26">
        <v>1732.99</v>
      </c>
      <c r="I22" s="25"/>
      <c r="J22" s="25"/>
      <c r="K22" s="25"/>
      <c r="L22" s="25">
        <v>5978.85</v>
      </c>
      <c r="M22" s="25"/>
      <c r="N22" s="25"/>
      <c r="O22" s="25"/>
      <c r="P22" s="25"/>
      <c r="Q22" s="57">
        <f t="shared" si="1"/>
        <v>7711.84</v>
      </c>
      <c r="R22" s="58">
        <f t="shared" si="0"/>
        <v>199283.57000000004</v>
      </c>
      <c r="S22" s="59">
        <f t="shared" si="2"/>
        <v>191571.73000000004</v>
      </c>
      <c r="U22" s="62"/>
    </row>
    <row r="23" spans="1:21" ht="15.75">
      <c r="A23" s="55">
        <v>19</v>
      </c>
      <c r="B23" s="56" t="s">
        <v>23</v>
      </c>
      <c r="C23" s="25">
        <v>7742.04</v>
      </c>
      <c r="D23" s="25">
        <v>4993.63</v>
      </c>
      <c r="E23" s="25">
        <v>2808.08</v>
      </c>
      <c r="F23" s="25">
        <v>1180.1</v>
      </c>
      <c r="G23" s="25">
        <v>441.99</v>
      </c>
      <c r="H23" s="26"/>
      <c r="I23" s="25"/>
      <c r="J23" s="25"/>
      <c r="K23" s="25"/>
      <c r="L23" s="25"/>
      <c r="M23" s="25"/>
      <c r="N23" s="25"/>
      <c r="O23" s="25"/>
      <c r="P23" s="25"/>
      <c r="Q23" s="57">
        <f t="shared" si="1"/>
        <v>0</v>
      </c>
      <c r="R23" s="58">
        <f t="shared" si="0"/>
        <v>17165.84</v>
      </c>
      <c r="S23" s="59">
        <f t="shared" si="2"/>
        <v>17165.84</v>
      </c>
      <c r="U23" s="62"/>
    </row>
    <row r="24" spans="1:21" ht="15.75">
      <c r="A24" s="55">
        <v>20</v>
      </c>
      <c r="B24" s="56" t="s">
        <v>24</v>
      </c>
      <c r="C24" s="25">
        <f>5999.5+2600.88</f>
        <v>8600.380000000001</v>
      </c>
      <c r="D24" s="25">
        <f>4650.32+2407.5</f>
        <v>7057.82</v>
      </c>
      <c r="E24" s="25">
        <f>2615.1+2658.87</f>
        <v>5273.969999999999</v>
      </c>
      <c r="F24" s="25">
        <f>2376.33+1002.5</f>
        <v>3378.83</v>
      </c>
      <c r="G24" s="25">
        <f>441+788.21</f>
        <v>1229.21</v>
      </c>
      <c r="H24" s="26"/>
      <c r="I24" s="25"/>
      <c r="J24" s="25"/>
      <c r="K24" s="25"/>
      <c r="L24" s="25"/>
      <c r="M24" s="25"/>
      <c r="N24" s="25"/>
      <c r="O24" s="25"/>
      <c r="P24" s="25"/>
      <c r="Q24" s="57">
        <f t="shared" si="1"/>
        <v>0</v>
      </c>
      <c r="R24" s="58">
        <f t="shared" si="0"/>
        <v>25540.21</v>
      </c>
      <c r="S24" s="59">
        <f t="shared" si="2"/>
        <v>25540.21</v>
      </c>
      <c r="U24" s="62"/>
    </row>
    <row r="25" spans="1:21" ht="15.75">
      <c r="A25" s="55">
        <v>21</v>
      </c>
      <c r="B25" s="56" t="s">
        <v>25</v>
      </c>
      <c r="C25" s="25">
        <f>11854.48+10792.82+13352.4+8204.61</f>
        <v>44204.31</v>
      </c>
      <c r="D25" s="25">
        <f>15488.52+14907.89+18874.54+11554.99</f>
        <v>60825.939999999995</v>
      </c>
      <c r="E25" s="25">
        <f>8181.32+7968.67+19672.42+2604.26</f>
        <v>38426.67</v>
      </c>
      <c r="F25" s="25">
        <f>2120.27+1146.09+954.76+2273.29</f>
        <v>6494.41</v>
      </c>
      <c r="G25" s="25">
        <f>1480.37+1574.06+1918.69+838.07</f>
        <v>5811.19</v>
      </c>
      <c r="H25" s="25">
        <f>990.24+446.42</f>
        <v>1436.66</v>
      </c>
      <c r="I25" s="25"/>
      <c r="J25" s="25">
        <f>1833.6+4452.58</f>
        <v>6286.18</v>
      </c>
      <c r="K25" s="25">
        <f>5357.94</f>
        <v>5357.94</v>
      </c>
      <c r="L25" s="25">
        <f>4223.6+70585.16+2678.97+4149.36</f>
        <v>81637.09000000001</v>
      </c>
      <c r="M25" s="25">
        <f>2678.97</f>
        <v>2678.97</v>
      </c>
      <c r="N25" s="25">
        <f>17413.3</f>
        <v>17413.3</v>
      </c>
      <c r="O25" s="25"/>
      <c r="P25" s="25">
        <v>29468.67</v>
      </c>
      <c r="Q25" s="57">
        <f t="shared" si="1"/>
        <v>144278.81</v>
      </c>
      <c r="R25" s="58">
        <f t="shared" si="0"/>
        <v>300041.33</v>
      </c>
      <c r="S25" s="59">
        <f t="shared" si="2"/>
        <v>155762.52000000002</v>
      </c>
      <c r="U25" s="62"/>
    </row>
    <row r="26" spans="1:21" ht="15.75">
      <c r="A26" s="55">
        <v>22</v>
      </c>
      <c r="B26" s="56" t="s">
        <v>26</v>
      </c>
      <c r="C26" s="25">
        <v>3053.01</v>
      </c>
      <c r="D26" s="25">
        <v>3888.94</v>
      </c>
      <c r="E26" s="25">
        <v>2097.71</v>
      </c>
      <c r="F26" s="25">
        <v>288.23</v>
      </c>
      <c r="G26" s="25">
        <v>546.07</v>
      </c>
      <c r="H26" s="26"/>
      <c r="I26" s="25"/>
      <c r="J26" s="25"/>
      <c r="K26" s="25"/>
      <c r="L26" s="25"/>
      <c r="M26" s="25"/>
      <c r="N26" s="25">
        <v>3859.45</v>
      </c>
      <c r="O26" s="25"/>
      <c r="P26" s="25"/>
      <c r="Q26" s="57">
        <f t="shared" si="1"/>
        <v>3859.45</v>
      </c>
      <c r="R26" s="58">
        <f t="shared" si="0"/>
        <v>13733.41</v>
      </c>
      <c r="S26" s="59">
        <f t="shared" si="2"/>
        <v>9873.96</v>
      </c>
      <c r="U26" s="62"/>
    </row>
    <row r="27" spans="1:21" ht="15.75">
      <c r="A27" s="55">
        <v>23</v>
      </c>
      <c r="B27" s="56" t="s">
        <v>27</v>
      </c>
      <c r="C27" s="25">
        <f>13796.38+6559.16</f>
        <v>20355.54</v>
      </c>
      <c r="D27" s="25">
        <f>15824.04+4014.08</f>
        <v>19838.120000000003</v>
      </c>
      <c r="E27" s="25">
        <f>3782.27+2392.23</f>
        <v>6174.5</v>
      </c>
      <c r="F27" s="25">
        <f>2228.11+2858.8</f>
        <v>5086.91</v>
      </c>
      <c r="G27" s="25">
        <f>1571.85+814.37</f>
        <v>2386.22</v>
      </c>
      <c r="H27" s="26"/>
      <c r="I27" s="25"/>
      <c r="J27" s="25"/>
      <c r="K27" s="25"/>
      <c r="L27" s="25">
        <v>3260.32</v>
      </c>
      <c r="M27" s="25"/>
      <c r="N27" s="25"/>
      <c r="O27" s="25">
        <v>2109.97</v>
      </c>
      <c r="P27" s="25"/>
      <c r="Q27" s="57">
        <f t="shared" si="1"/>
        <v>5370.29</v>
      </c>
      <c r="R27" s="58">
        <f t="shared" si="0"/>
        <v>59211.58000000001</v>
      </c>
      <c r="S27" s="59">
        <f t="shared" si="2"/>
        <v>53841.29000000001</v>
      </c>
      <c r="U27" s="62"/>
    </row>
    <row r="28" spans="1:21" ht="15.75">
      <c r="A28" s="55">
        <v>24</v>
      </c>
      <c r="B28" s="56" t="s">
        <v>28</v>
      </c>
      <c r="C28" s="25">
        <f>6884.35+4100.88</f>
        <v>10985.23</v>
      </c>
      <c r="D28" s="25">
        <f>6376.77+3423.9</f>
        <v>9800.67</v>
      </c>
      <c r="E28" s="25">
        <f>9038.54+2989.17</f>
        <v>12027.710000000001</v>
      </c>
      <c r="F28" s="25">
        <f>2836.2+404.17</f>
        <v>3240.37</v>
      </c>
      <c r="G28" s="25">
        <f>750.33+286.23</f>
        <v>1036.56</v>
      </c>
      <c r="H28" s="26"/>
      <c r="I28" s="25"/>
      <c r="J28" s="25"/>
      <c r="K28" s="25"/>
      <c r="L28" s="25"/>
      <c r="M28" s="25"/>
      <c r="N28" s="25"/>
      <c r="O28" s="25"/>
      <c r="P28" s="25"/>
      <c r="Q28" s="57">
        <f t="shared" si="1"/>
        <v>0</v>
      </c>
      <c r="R28" s="58">
        <f t="shared" si="0"/>
        <v>37090.54</v>
      </c>
      <c r="S28" s="59">
        <f t="shared" si="2"/>
        <v>37090.54</v>
      </c>
      <c r="U28" s="62"/>
    </row>
    <row r="29" spans="1:21" ht="15.75">
      <c r="A29" s="55">
        <v>25</v>
      </c>
      <c r="B29" s="56" t="s">
        <v>29</v>
      </c>
      <c r="C29" s="25">
        <f>19875.85+14313.54+17684.93</f>
        <v>51874.32</v>
      </c>
      <c r="D29" s="25">
        <f>27076.35+21098.29+14925.07</f>
        <v>63099.71</v>
      </c>
      <c r="E29" s="25">
        <f>7779.29+8764.66+4444.77</f>
        <v>20988.72</v>
      </c>
      <c r="F29" s="25">
        <f>2089.31+1903.57+1615.56</f>
        <v>5608.4400000000005</v>
      </c>
      <c r="G29" s="25">
        <f>2545.44+2306.57+2108.74</f>
        <v>6960.75</v>
      </c>
      <c r="H29" s="26"/>
      <c r="I29" s="25"/>
      <c r="J29" s="25"/>
      <c r="K29" s="25"/>
      <c r="L29" s="25"/>
      <c r="M29" s="25">
        <v>2678.98</v>
      </c>
      <c r="N29" s="25"/>
      <c r="O29" s="25"/>
      <c r="P29" s="25"/>
      <c r="Q29" s="57">
        <f t="shared" si="1"/>
        <v>2678.98</v>
      </c>
      <c r="R29" s="58">
        <f t="shared" si="0"/>
        <v>151210.92</v>
      </c>
      <c r="S29" s="59">
        <f t="shared" si="2"/>
        <v>148531.94</v>
      </c>
      <c r="U29" s="62"/>
    </row>
    <row r="30" spans="1:21" ht="15.75">
      <c r="A30" s="55">
        <v>26</v>
      </c>
      <c r="B30" s="56" t="s">
        <v>30</v>
      </c>
      <c r="C30" s="25">
        <f>30902.86+4446.78</f>
        <v>35349.64</v>
      </c>
      <c r="D30" s="25">
        <f>36473.61+3279.69</f>
        <v>39753.3</v>
      </c>
      <c r="E30" s="25">
        <f>12181.61+350.29</f>
        <v>12531.900000000001</v>
      </c>
      <c r="F30" s="25">
        <f>6171.25+1168.75</f>
        <v>7340</v>
      </c>
      <c r="G30" s="25">
        <f>4625.3+454.51</f>
        <v>5079.81</v>
      </c>
      <c r="H30" s="26">
        <v>6447.46</v>
      </c>
      <c r="I30" s="25"/>
      <c r="J30" s="25"/>
      <c r="K30" s="25"/>
      <c r="L30" s="25"/>
      <c r="M30" s="25"/>
      <c r="N30" s="25">
        <v>5357.96</v>
      </c>
      <c r="O30" s="25"/>
      <c r="P30" s="25"/>
      <c r="Q30" s="57">
        <f t="shared" si="1"/>
        <v>11805.42</v>
      </c>
      <c r="R30" s="58">
        <f t="shared" si="0"/>
        <v>111860.07</v>
      </c>
      <c r="S30" s="59">
        <f t="shared" si="2"/>
        <v>100054.65000000001</v>
      </c>
      <c r="U30" s="62"/>
    </row>
    <row r="31" spans="1:21" ht="15.75">
      <c r="A31" s="55">
        <v>27</v>
      </c>
      <c r="B31" s="56" t="s">
        <v>40</v>
      </c>
      <c r="C31" s="25">
        <v>4357.22</v>
      </c>
      <c r="D31" s="25">
        <v>3772.65</v>
      </c>
      <c r="E31" s="25">
        <v>1764.33</v>
      </c>
      <c r="F31" s="25">
        <v>615.81</v>
      </c>
      <c r="G31" s="25">
        <v>359.49</v>
      </c>
      <c r="H31" s="26"/>
      <c r="I31" s="25"/>
      <c r="J31" s="25"/>
      <c r="K31" s="25"/>
      <c r="L31" s="25"/>
      <c r="M31" s="25"/>
      <c r="N31" s="25"/>
      <c r="O31" s="25"/>
      <c r="P31" s="25"/>
      <c r="Q31" s="57">
        <f t="shared" si="1"/>
        <v>0</v>
      </c>
      <c r="R31" s="58">
        <f t="shared" si="0"/>
        <v>10869.5</v>
      </c>
      <c r="S31" s="59">
        <f t="shared" si="2"/>
        <v>10869.5</v>
      </c>
      <c r="U31" s="62"/>
    </row>
    <row r="32" spans="1:21" ht="15.75">
      <c r="A32" s="55">
        <v>28</v>
      </c>
      <c r="B32" s="56" t="s">
        <v>41</v>
      </c>
      <c r="C32" s="25">
        <f>12082.34+2865.46+2742.79+4028.26</f>
        <v>21718.85</v>
      </c>
      <c r="D32" s="25">
        <f>12942.59+2907.02+3098.69+4183.64</f>
        <v>23131.94</v>
      </c>
      <c r="E32" s="25">
        <f>7800.82+1488.25+3556.22+1358.12</f>
        <v>14203.41</v>
      </c>
      <c r="F32" s="25">
        <f>3960.22+343.39+321.06+837.78</f>
        <v>5462.45</v>
      </c>
      <c r="G32" s="25">
        <f>1226.95+341.27+183.95+310.46</f>
        <v>2062.63</v>
      </c>
      <c r="H32" s="26"/>
      <c r="I32" s="25"/>
      <c r="J32" s="25">
        <v>1833.6</v>
      </c>
      <c r="K32" s="25"/>
      <c r="L32" s="25"/>
      <c r="M32" s="25">
        <v>3299.87</v>
      </c>
      <c r="N32" s="25"/>
      <c r="O32" s="25"/>
      <c r="P32" s="25"/>
      <c r="Q32" s="57">
        <f t="shared" si="1"/>
        <v>5133.469999999999</v>
      </c>
      <c r="R32" s="58">
        <f t="shared" si="0"/>
        <v>71712.75</v>
      </c>
      <c r="S32" s="59">
        <f t="shared" si="2"/>
        <v>66579.28</v>
      </c>
      <c r="U32" s="62"/>
    </row>
    <row r="33" spans="1:21" ht="15.75">
      <c r="A33" s="55">
        <v>29</v>
      </c>
      <c r="B33" s="56" t="s">
        <v>42</v>
      </c>
      <c r="C33" s="25">
        <v>17769.59</v>
      </c>
      <c r="D33" s="25">
        <v>22705.05</v>
      </c>
      <c r="E33" s="25">
        <v>6383.62</v>
      </c>
      <c r="F33" s="25">
        <v>1825.89</v>
      </c>
      <c r="G33" s="25">
        <v>2053.7</v>
      </c>
      <c r="H33" s="26"/>
      <c r="I33" s="25"/>
      <c r="J33" s="25"/>
      <c r="K33" s="25"/>
      <c r="L33" s="25"/>
      <c r="M33" s="25"/>
      <c r="N33" s="25"/>
      <c r="O33" s="25"/>
      <c r="P33" s="25"/>
      <c r="Q33" s="57">
        <f t="shared" si="1"/>
        <v>0</v>
      </c>
      <c r="R33" s="58">
        <f t="shared" si="0"/>
        <v>50737.85</v>
      </c>
      <c r="S33" s="59">
        <f t="shared" si="2"/>
        <v>50737.85</v>
      </c>
      <c r="U33" s="62"/>
    </row>
    <row r="34" spans="1:21" ht="15.75">
      <c r="A34" s="55">
        <v>30</v>
      </c>
      <c r="B34" s="56" t="s">
        <v>44</v>
      </c>
      <c r="C34" s="25">
        <v>7170.95</v>
      </c>
      <c r="D34" s="25">
        <v>5371.96</v>
      </c>
      <c r="E34" s="25">
        <v>4373.44</v>
      </c>
      <c r="F34" s="25">
        <v>1035.49</v>
      </c>
      <c r="G34" s="25">
        <v>751.48</v>
      </c>
      <c r="H34" s="26"/>
      <c r="I34" s="25"/>
      <c r="J34" s="25"/>
      <c r="K34" s="25"/>
      <c r="L34" s="25"/>
      <c r="M34" s="25"/>
      <c r="N34" s="25"/>
      <c r="O34" s="25"/>
      <c r="P34" s="25"/>
      <c r="Q34" s="57">
        <f t="shared" si="1"/>
        <v>0</v>
      </c>
      <c r="R34" s="58">
        <f t="shared" si="0"/>
        <v>18703.32</v>
      </c>
      <c r="S34" s="59">
        <f t="shared" si="2"/>
        <v>18703.32</v>
      </c>
      <c r="U34" s="62"/>
    </row>
    <row r="35" spans="1:21" ht="15.75">
      <c r="A35" s="55">
        <v>31</v>
      </c>
      <c r="B35" s="56" t="s">
        <v>45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6"/>
      <c r="I35" s="25"/>
      <c r="J35" s="25"/>
      <c r="K35" s="25"/>
      <c r="L35" s="25"/>
      <c r="M35" s="25"/>
      <c r="N35" s="25"/>
      <c r="O35" s="25"/>
      <c r="P35" s="25"/>
      <c r="Q35" s="57">
        <f t="shared" si="1"/>
        <v>0</v>
      </c>
      <c r="R35" s="58">
        <f t="shared" si="0"/>
        <v>0</v>
      </c>
      <c r="S35" s="59">
        <f t="shared" si="2"/>
        <v>0</v>
      </c>
      <c r="U35" s="62"/>
    </row>
    <row r="36" spans="1:56" s="48" customFormat="1" ht="15.75">
      <c r="A36" s="55">
        <v>32</v>
      </c>
      <c r="B36" s="56" t="s">
        <v>47</v>
      </c>
      <c r="C36" s="25">
        <v>6743.64</v>
      </c>
      <c r="D36" s="25">
        <v>8906.4</v>
      </c>
      <c r="E36" s="25">
        <v>8422.91</v>
      </c>
      <c r="F36" s="25">
        <v>1334</v>
      </c>
      <c r="G36" s="25">
        <v>1314.54</v>
      </c>
      <c r="H36" s="25"/>
      <c r="I36" s="25"/>
      <c r="J36" s="25"/>
      <c r="K36" s="25"/>
      <c r="L36" s="25"/>
      <c r="M36" s="25"/>
      <c r="N36" s="25"/>
      <c r="O36" s="25"/>
      <c r="P36" s="25"/>
      <c r="Q36" s="57">
        <f t="shared" si="1"/>
        <v>0</v>
      </c>
      <c r="R36" s="58">
        <f t="shared" si="0"/>
        <v>26721.49</v>
      </c>
      <c r="S36" s="59">
        <f t="shared" si="2"/>
        <v>26721.49</v>
      </c>
      <c r="T36" s="4"/>
      <c r="U36" s="62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21" s="4" customFormat="1" ht="15.75">
      <c r="A37" s="55">
        <v>33</v>
      </c>
      <c r="B37" s="56" t="s">
        <v>60</v>
      </c>
      <c r="C37" s="25">
        <v>2235.33</v>
      </c>
      <c r="D37" s="25">
        <v>2312.27</v>
      </c>
      <c r="E37" s="25">
        <v>1357.6</v>
      </c>
      <c r="F37" s="25">
        <v>304.3</v>
      </c>
      <c r="G37" s="25">
        <v>379.14</v>
      </c>
      <c r="H37" s="25"/>
      <c r="I37" s="25"/>
      <c r="J37" s="25"/>
      <c r="K37" s="25"/>
      <c r="L37" s="25"/>
      <c r="M37" s="25"/>
      <c r="N37" s="25"/>
      <c r="O37" s="25"/>
      <c r="P37" s="25"/>
      <c r="Q37" s="57">
        <f t="shared" si="1"/>
        <v>0</v>
      </c>
      <c r="R37" s="58">
        <f t="shared" si="0"/>
        <v>6588.640000000001</v>
      </c>
      <c r="S37" s="59">
        <f t="shared" si="2"/>
        <v>6588.640000000001</v>
      </c>
      <c r="U37" s="62"/>
    </row>
    <row r="38" spans="1:21" s="4" customFormat="1" ht="16.5" thickBot="1">
      <c r="A38" s="55">
        <v>34</v>
      </c>
      <c r="B38" s="56" t="s">
        <v>61</v>
      </c>
      <c r="C38" s="25">
        <v>5859.57</v>
      </c>
      <c r="D38" s="25">
        <v>6016.25</v>
      </c>
      <c r="E38" s="25">
        <v>558.57</v>
      </c>
      <c r="F38" s="25">
        <v>3015.13</v>
      </c>
      <c r="G38" s="25">
        <v>1151.53</v>
      </c>
      <c r="H38" s="25"/>
      <c r="I38" s="25"/>
      <c r="J38" s="25"/>
      <c r="K38" s="25"/>
      <c r="L38" s="25"/>
      <c r="M38" s="25"/>
      <c r="N38" s="25"/>
      <c r="O38" s="25"/>
      <c r="P38" s="25"/>
      <c r="Q38" s="57">
        <f t="shared" si="1"/>
        <v>0</v>
      </c>
      <c r="R38" s="58">
        <f t="shared" si="0"/>
        <v>16601.05</v>
      </c>
      <c r="S38" s="59">
        <f t="shared" si="2"/>
        <v>16601.05</v>
      </c>
      <c r="U38" s="62"/>
    </row>
    <row r="39" spans="1:56" s="49" customFormat="1" ht="26.25" customHeight="1" thickBot="1">
      <c r="A39" s="57"/>
      <c r="B39" s="57" t="s">
        <v>31</v>
      </c>
      <c r="C39" s="57">
        <f>SUM(C5:C38)</f>
        <v>833362.7799999997</v>
      </c>
      <c r="D39" s="57">
        <f aca="true" t="shared" si="3" ref="D39:P39">SUM(D5:D38)</f>
        <v>918996.5</v>
      </c>
      <c r="E39" s="57">
        <f t="shared" si="3"/>
        <v>619939.0799999998</v>
      </c>
      <c r="F39" s="57">
        <f t="shared" si="3"/>
        <v>156552.13000000003</v>
      </c>
      <c r="G39" s="57">
        <f t="shared" si="3"/>
        <v>100316.52</v>
      </c>
      <c r="H39" s="57">
        <f t="shared" si="3"/>
        <v>23481.21</v>
      </c>
      <c r="I39" s="57">
        <f t="shared" si="3"/>
        <v>0</v>
      </c>
      <c r="J39" s="57">
        <f t="shared" si="3"/>
        <v>8119.780000000001</v>
      </c>
      <c r="K39" s="57">
        <f t="shared" si="3"/>
        <v>19942.379999999997</v>
      </c>
      <c r="L39" s="57">
        <f t="shared" si="3"/>
        <v>152632.63000000003</v>
      </c>
      <c r="M39" s="57">
        <f t="shared" si="3"/>
        <v>12676.29</v>
      </c>
      <c r="N39" s="57">
        <f t="shared" si="3"/>
        <v>74201.63</v>
      </c>
      <c r="O39" s="57">
        <f t="shared" si="3"/>
        <v>3925.6</v>
      </c>
      <c r="P39" s="57">
        <f t="shared" si="3"/>
        <v>38747.39</v>
      </c>
      <c r="Q39" s="57">
        <f t="shared" si="1"/>
        <v>333726.91000000003</v>
      </c>
      <c r="R39" s="58">
        <f t="shared" si="0"/>
        <v>2962893.919999999</v>
      </c>
      <c r="S39" s="59">
        <f t="shared" si="2"/>
        <v>2629167.009999999</v>
      </c>
      <c r="T39" s="4"/>
      <c r="U39" s="62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2:19" ht="15.75">
      <c r="B40" s="29"/>
      <c r="C40" s="30"/>
      <c r="D40" s="30"/>
      <c r="E40" s="30"/>
      <c r="F40" s="31"/>
      <c r="G40" s="31"/>
      <c r="H40" s="32"/>
      <c r="I40" s="30"/>
      <c r="J40" s="30"/>
      <c r="K40" s="30"/>
      <c r="L40" s="30"/>
      <c r="M40" s="30"/>
      <c r="N40" s="30"/>
      <c r="O40" s="30"/>
      <c r="P40" s="30"/>
      <c r="Q40" s="30"/>
      <c r="S40" s="32"/>
    </row>
    <row r="41" spans="2:19" ht="15.75">
      <c r="B41" s="33"/>
      <c r="C41" s="30"/>
      <c r="D41" s="30"/>
      <c r="E41" s="30"/>
      <c r="F41" s="31"/>
      <c r="G41" s="31"/>
      <c r="H41" s="32"/>
      <c r="I41" s="30"/>
      <c r="J41" s="30"/>
      <c r="K41" s="30"/>
      <c r="L41" s="30"/>
      <c r="M41" s="30"/>
      <c r="N41" s="30"/>
      <c r="O41" s="30"/>
      <c r="P41" s="30"/>
      <c r="Q41" s="30"/>
      <c r="S41" s="32"/>
    </row>
    <row r="42" spans="2:18" ht="15">
      <c r="B42" s="8"/>
      <c r="C42" s="1"/>
      <c r="D42" s="1"/>
      <c r="E42" s="1"/>
      <c r="F42" s="2"/>
      <c r="G42" s="2"/>
      <c r="H42" s="15"/>
      <c r="I42" s="1"/>
      <c r="J42" s="1"/>
      <c r="K42" s="1"/>
      <c r="L42" s="1"/>
      <c r="M42" s="1"/>
      <c r="N42" s="1"/>
      <c r="O42" s="1"/>
      <c r="P42" s="1"/>
      <c r="Q42" s="1"/>
      <c r="R42" s="3"/>
    </row>
    <row r="43" spans="2:17" ht="15">
      <c r="B43" s="8"/>
      <c r="C43" s="1"/>
      <c r="D43" s="1"/>
      <c r="E43" s="1"/>
      <c r="F43" s="2"/>
      <c r="G43" s="2"/>
      <c r="H43" s="16"/>
      <c r="I43" s="1"/>
      <c r="J43" s="1"/>
      <c r="K43" s="1"/>
      <c r="L43" s="1"/>
      <c r="M43" s="1"/>
      <c r="N43" s="1"/>
      <c r="O43" s="1"/>
      <c r="P43" s="1"/>
      <c r="Q43" s="1"/>
    </row>
    <row r="44" spans="2:17" ht="15">
      <c r="B44" s="8"/>
      <c r="C44" s="1"/>
      <c r="D44" s="1"/>
      <c r="E44" s="1"/>
      <c r="F44" s="2"/>
      <c r="G44" s="2"/>
      <c r="H44" s="15"/>
      <c r="I44" s="1"/>
      <c r="J44" s="1"/>
      <c r="K44" s="1"/>
      <c r="L44" s="1"/>
      <c r="M44" s="1"/>
      <c r="N44" s="1"/>
      <c r="O44" s="1"/>
      <c r="P44" s="1"/>
      <c r="Q44" s="1"/>
    </row>
    <row r="45" spans="2:17" ht="15">
      <c r="B45" s="8"/>
      <c r="C45" s="1"/>
      <c r="D45" s="1"/>
      <c r="E45" s="1"/>
      <c r="F45" s="2"/>
      <c r="G45" s="2"/>
      <c r="H45" s="15"/>
      <c r="I45" s="1"/>
      <c r="J45" s="1"/>
      <c r="K45" s="1"/>
      <c r="L45" s="1"/>
      <c r="M45" s="1"/>
      <c r="N45" s="1"/>
      <c r="O45" s="1"/>
      <c r="P45" s="1"/>
      <c r="Q45" s="1"/>
    </row>
    <row r="46" spans="2:19" ht="12.75">
      <c r="B46" s="14"/>
      <c r="S46" s="63"/>
    </row>
    <row r="47" spans="2:12" ht="12.75">
      <c r="B47" s="9"/>
      <c r="F47" s="3"/>
      <c r="G47" s="3"/>
      <c r="L47" s="3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spans="2:19" ht="12.75">
      <c r="B56" s="10"/>
      <c r="C56" s="4"/>
      <c r="D56" s="4"/>
      <c r="E56" s="4"/>
      <c r="F56" s="4"/>
      <c r="G56" s="4"/>
      <c r="H56" s="18"/>
      <c r="I56" s="4"/>
      <c r="J56" s="4"/>
      <c r="K56" s="4"/>
      <c r="L56" s="4"/>
      <c r="M56" s="4"/>
      <c r="N56" s="4"/>
      <c r="O56" s="4"/>
      <c r="P56" s="4"/>
      <c r="Q56" s="4"/>
      <c r="R56" s="4"/>
      <c r="S56" s="13"/>
    </row>
    <row r="57" spans="2:19" ht="12.75">
      <c r="B57" s="10"/>
      <c r="C57" s="4"/>
      <c r="D57" s="4"/>
      <c r="E57" s="4"/>
      <c r="F57" s="4"/>
      <c r="G57" s="4"/>
      <c r="H57" s="18"/>
      <c r="I57" s="4"/>
      <c r="J57" s="4"/>
      <c r="K57" s="4"/>
      <c r="L57" s="4"/>
      <c r="M57" s="4"/>
      <c r="N57" s="4"/>
      <c r="O57" s="4"/>
      <c r="P57" s="4"/>
      <c r="Q57" s="4"/>
      <c r="R57" s="4"/>
      <c r="S57" s="13"/>
    </row>
    <row r="58" spans="2:19" ht="12.75">
      <c r="B58" s="10"/>
      <c r="C58" s="4"/>
      <c r="D58" s="4"/>
      <c r="E58" s="4"/>
      <c r="F58" s="4"/>
      <c r="G58" s="4"/>
      <c r="H58" s="18"/>
      <c r="I58" s="4"/>
      <c r="J58" s="4"/>
      <c r="K58" s="4"/>
      <c r="L58" s="4"/>
      <c r="M58" s="4"/>
      <c r="N58" s="4"/>
      <c r="O58" s="4"/>
      <c r="P58" s="4"/>
      <c r="Q58" s="4"/>
      <c r="R58" s="4"/>
      <c r="S58" s="13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0"/>
  <sheetViews>
    <sheetView workbookViewId="0" topLeftCell="A1">
      <selection activeCell="F10" sqref="F10"/>
    </sheetView>
  </sheetViews>
  <sheetFormatPr defaultColWidth="9.140625" defaultRowHeight="12.75"/>
  <cols>
    <col min="2" max="2" width="30.421875" style="0" customWidth="1"/>
    <col min="3" max="3" width="12.57421875" style="0" customWidth="1"/>
    <col min="8" max="8" width="12.7109375" style="0" customWidth="1"/>
  </cols>
  <sheetData>
    <row r="3" spans="1:8" ht="15">
      <c r="A3" s="73" t="s">
        <v>80</v>
      </c>
      <c r="B3" s="73"/>
      <c r="C3" s="73"/>
      <c r="D3" s="73"/>
      <c r="E3" s="73"/>
      <c r="F3" s="73"/>
      <c r="G3" s="73"/>
      <c r="H3" s="73"/>
    </row>
    <row r="4" spans="1:8" ht="14.25">
      <c r="A4" s="36"/>
      <c r="B4" s="36"/>
      <c r="C4" s="38"/>
      <c r="D4" s="1"/>
      <c r="E4" s="1"/>
      <c r="F4" s="1"/>
      <c r="G4" s="36"/>
      <c r="H4" s="36"/>
    </row>
    <row r="5" spans="1:3" ht="15.75">
      <c r="A5" s="50" t="s">
        <v>0</v>
      </c>
      <c r="B5" s="51" t="s">
        <v>1</v>
      </c>
      <c r="C5" s="51" t="s">
        <v>83</v>
      </c>
    </row>
    <row r="6" spans="1:3" ht="15.75">
      <c r="A6" s="55">
        <v>1</v>
      </c>
      <c r="B6" s="56" t="s">
        <v>6</v>
      </c>
      <c r="C6" s="67"/>
    </row>
    <row r="7" spans="1:3" ht="15.75">
      <c r="A7" s="55">
        <v>2</v>
      </c>
      <c r="B7" s="56" t="s">
        <v>7</v>
      </c>
      <c r="C7" s="67"/>
    </row>
    <row r="8" spans="1:3" ht="15.75">
      <c r="A8" s="55">
        <v>3</v>
      </c>
      <c r="B8" s="56" t="s">
        <v>8</v>
      </c>
      <c r="C8" s="67"/>
    </row>
    <row r="9" spans="1:3" ht="15.75">
      <c r="A9" s="55">
        <v>4</v>
      </c>
      <c r="B9" s="56" t="s">
        <v>9</v>
      </c>
      <c r="C9" s="67"/>
    </row>
    <row r="10" spans="1:3" ht="15.75">
      <c r="A10" s="55">
        <v>5</v>
      </c>
      <c r="B10" s="56" t="s">
        <v>10</v>
      </c>
      <c r="C10" s="67"/>
    </row>
    <row r="11" spans="1:3" ht="15.75">
      <c r="A11" s="55">
        <v>6</v>
      </c>
      <c r="B11" s="56" t="s">
        <v>11</v>
      </c>
      <c r="C11" s="67">
        <v>878.86</v>
      </c>
    </row>
    <row r="12" spans="1:3" ht="15.75">
      <c r="A12" s="55">
        <v>7</v>
      </c>
      <c r="B12" s="56" t="s">
        <v>59</v>
      </c>
      <c r="C12" s="67"/>
    </row>
    <row r="13" spans="1:3" ht="15.75">
      <c r="A13" s="55">
        <v>8</v>
      </c>
      <c r="B13" s="56" t="s">
        <v>12</v>
      </c>
      <c r="C13" s="67"/>
    </row>
    <row r="14" spans="1:3" ht="15.75">
      <c r="A14" s="55">
        <v>9</v>
      </c>
      <c r="B14" s="56" t="s">
        <v>13</v>
      </c>
      <c r="C14" s="67"/>
    </row>
    <row r="15" spans="1:3" ht="15.75">
      <c r="A15" s="55">
        <v>10</v>
      </c>
      <c r="B15" s="56" t="s">
        <v>14</v>
      </c>
      <c r="C15" s="67"/>
    </row>
    <row r="16" spans="1:3" ht="15.75">
      <c r="A16" s="55">
        <v>11</v>
      </c>
      <c r="B16" s="56" t="s">
        <v>15</v>
      </c>
      <c r="C16" s="67"/>
    </row>
    <row r="17" spans="1:3" ht="15.75">
      <c r="A17" s="55">
        <v>12</v>
      </c>
      <c r="B17" s="56" t="s">
        <v>16</v>
      </c>
      <c r="C17" s="67"/>
    </row>
    <row r="18" spans="1:3" ht="15.75">
      <c r="A18" s="55">
        <v>13</v>
      </c>
      <c r="B18" s="56" t="s">
        <v>17</v>
      </c>
      <c r="C18" s="67">
        <v>878.85</v>
      </c>
    </row>
    <row r="19" spans="1:3" ht="15.75">
      <c r="A19" s="55">
        <v>14</v>
      </c>
      <c r="B19" s="56" t="s">
        <v>18</v>
      </c>
      <c r="C19" s="67"/>
    </row>
    <row r="20" spans="1:3" ht="15.75">
      <c r="A20" s="55">
        <v>15</v>
      </c>
      <c r="B20" s="56" t="s">
        <v>19</v>
      </c>
      <c r="C20" s="67"/>
    </row>
    <row r="21" spans="1:3" ht="15.75">
      <c r="A21" s="55">
        <v>16</v>
      </c>
      <c r="B21" s="56" t="s">
        <v>20</v>
      </c>
      <c r="C21" s="67"/>
    </row>
    <row r="22" spans="1:3" ht="15.75">
      <c r="A22" s="55">
        <v>17</v>
      </c>
      <c r="B22" s="56" t="s">
        <v>21</v>
      </c>
      <c r="C22" s="67"/>
    </row>
    <row r="23" spans="1:3" ht="15.75">
      <c r="A23" s="55">
        <v>18</v>
      </c>
      <c r="B23" s="56" t="s">
        <v>22</v>
      </c>
      <c r="C23" s="67"/>
    </row>
    <row r="24" spans="1:3" ht="15.75">
      <c r="A24" s="55">
        <v>19</v>
      </c>
      <c r="B24" s="56" t="s">
        <v>23</v>
      </c>
      <c r="C24" s="67"/>
    </row>
    <row r="25" spans="1:3" ht="15.75">
      <c r="A25" s="55">
        <v>20</v>
      </c>
      <c r="B25" s="56" t="s">
        <v>24</v>
      </c>
      <c r="C25" s="67"/>
    </row>
    <row r="26" spans="1:3" ht="15.75">
      <c r="A26" s="55">
        <v>21</v>
      </c>
      <c r="B26" s="56" t="s">
        <v>25</v>
      </c>
      <c r="C26" s="67">
        <v>1318.26</v>
      </c>
    </row>
    <row r="27" spans="1:3" ht="15.75">
      <c r="A27" s="55">
        <v>22</v>
      </c>
      <c r="B27" s="56" t="s">
        <v>26</v>
      </c>
      <c r="C27" s="67"/>
    </row>
    <row r="28" spans="1:3" ht="15.75">
      <c r="A28" s="55">
        <v>23</v>
      </c>
      <c r="B28" s="56" t="s">
        <v>27</v>
      </c>
      <c r="C28" s="67"/>
    </row>
    <row r="29" spans="1:3" ht="15.75">
      <c r="A29" s="55">
        <v>24</v>
      </c>
      <c r="B29" s="56" t="s">
        <v>28</v>
      </c>
      <c r="C29" s="67"/>
    </row>
    <row r="30" spans="1:3" ht="15.75">
      <c r="A30" s="55">
        <v>25</v>
      </c>
      <c r="B30" s="56" t="s">
        <v>29</v>
      </c>
      <c r="C30" s="67"/>
    </row>
    <row r="31" spans="1:3" ht="15.75">
      <c r="A31" s="55">
        <v>26</v>
      </c>
      <c r="B31" s="56" t="s">
        <v>30</v>
      </c>
      <c r="C31" s="67"/>
    </row>
    <row r="32" spans="1:3" ht="15.75">
      <c r="A32" s="55">
        <v>27</v>
      </c>
      <c r="B32" s="56" t="s">
        <v>40</v>
      </c>
      <c r="C32" s="67"/>
    </row>
    <row r="33" spans="1:3" ht="15.75">
      <c r="A33" s="55">
        <v>28</v>
      </c>
      <c r="B33" s="56" t="s">
        <v>41</v>
      </c>
      <c r="C33" s="67"/>
    </row>
    <row r="34" spans="1:3" ht="15.75">
      <c r="A34" s="55">
        <v>29</v>
      </c>
      <c r="B34" s="56" t="s">
        <v>42</v>
      </c>
      <c r="C34" s="67"/>
    </row>
    <row r="35" spans="1:3" ht="15.75">
      <c r="A35" s="55">
        <v>30</v>
      </c>
      <c r="B35" s="56" t="s">
        <v>44</v>
      </c>
      <c r="C35" s="67"/>
    </row>
    <row r="36" spans="1:3" ht="15.75">
      <c r="A36" s="55">
        <v>31</v>
      </c>
      <c r="B36" s="56" t="s">
        <v>45</v>
      </c>
      <c r="C36" s="67"/>
    </row>
    <row r="37" spans="1:3" ht="15.75">
      <c r="A37" s="55">
        <v>32</v>
      </c>
      <c r="B37" s="56" t="s">
        <v>47</v>
      </c>
      <c r="C37" s="67"/>
    </row>
    <row r="38" spans="1:3" ht="15.75">
      <c r="A38" s="55">
        <v>33</v>
      </c>
      <c r="B38" s="56" t="s">
        <v>60</v>
      </c>
      <c r="C38" s="67"/>
    </row>
    <row r="39" spans="1:3" ht="15.75">
      <c r="A39" s="55">
        <v>34</v>
      </c>
      <c r="B39" s="56" t="s">
        <v>61</v>
      </c>
      <c r="C39" s="67"/>
    </row>
    <row r="40" spans="1:3" ht="15.75">
      <c r="A40" s="57"/>
      <c r="B40" s="57" t="s">
        <v>31</v>
      </c>
      <c r="C40" s="68">
        <f>SUM(C6:C39)</f>
        <v>3075.9700000000003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0"/>
  <sheetViews>
    <sheetView view="pageBreakPreview" zoomScale="60" workbookViewId="0" topLeftCell="A1">
      <selection activeCell="C41" sqref="C41"/>
    </sheetView>
  </sheetViews>
  <sheetFormatPr defaultColWidth="9.140625" defaultRowHeight="12.75"/>
  <cols>
    <col min="2" max="2" width="29.140625" style="0" customWidth="1"/>
    <col min="3" max="3" width="15.140625" style="0" customWidth="1"/>
  </cols>
  <sheetData>
    <row r="3" spans="1:9" ht="15">
      <c r="A3" s="61" t="s">
        <v>81</v>
      </c>
      <c r="B3" s="61"/>
      <c r="C3" s="61"/>
      <c r="D3" s="61"/>
      <c r="E3" s="61"/>
      <c r="F3" s="61"/>
      <c r="G3" s="61"/>
      <c r="H3" s="61"/>
      <c r="I3" s="61"/>
    </row>
    <row r="4" spans="1:9" ht="14.25">
      <c r="A4" s="36"/>
      <c r="B4" s="36"/>
      <c r="C4" s="38"/>
      <c r="D4" s="1"/>
      <c r="E4" s="1"/>
      <c r="F4" s="1"/>
      <c r="G4" s="1"/>
      <c r="H4" s="36"/>
      <c r="I4" s="36"/>
    </row>
    <row r="5" spans="1:9" ht="47.25">
      <c r="A5" s="50" t="s">
        <v>0</v>
      </c>
      <c r="B5" s="51" t="s">
        <v>1</v>
      </c>
      <c r="C5" s="51" t="s">
        <v>70</v>
      </c>
      <c r="D5" s="36"/>
      <c r="E5" s="36"/>
      <c r="F5" s="36"/>
      <c r="G5" s="36"/>
      <c r="H5" s="36"/>
      <c r="I5" s="36"/>
    </row>
    <row r="6" spans="1:9" ht="15.75">
      <c r="A6" s="55">
        <v>1</v>
      </c>
      <c r="B6" s="56" t="s">
        <v>6</v>
      </c>
      <c r="C6" s="6">
        <v>1633.9</v>
      </c>
      <c r="D6" s="36"/>
      <c r="E6" s="36"/>
      <c r="F6" s="36"/>
      <c r="G6" s="36"/>
      <c r="H6" s="36"/>
      <c r="I6" s="36"/>
    </row>
    <row r="7" spans="1:3" ht="15.75">
      <c r="A7" s="55">
        <v>2</v>
      </c>
      <c r="B7" s="56" t="s">
        <v>7</v>
      </c>
      <c r="C7" s="67">
        <v>653.56</v>
      </c>
    </row>
    <row r="8" spans="1:3" ht="15.75">
      <c r="A8" s="55">
        <v>3</v>
      </c>
      <c r="B8" s="56" t="s">
        <v>8</v>
      </c>
      <c r="C8" s="67">
        <v>980.34</v>
      </c>
    </row>
    <row r="9" spans="1:3" ht="15.75">
      <c r="A9" s="55">
        <v>4</v>
      </c>
      <c r="B9" s="56" t="s">
        <v>9</v>
      </c>
      <c r="C9" s="67"/>
    </row>
    <row r="10" spans="1:3" ht="15.75">
      <c r="A10" s="55">
        <v>5</v>
      </c>
      <c r="B10" s="56" t="s">
        <v>10</v>
      </c>
      <c r="C10" s="67">
        <v>326.78</v>
      </c>
    </row>
    <row r="11" spans="1:3" ht="15.75">
      <c r="A11" s="55">
        <v>6</v>
      </c>
      <c r="B11" s="56" t="s">
        <v>11</v>
      </c>
      <c r="C11" s="67">
        <v>326.78</v>
      </c>
    </row>
    <row r="12" spans="1:3" ht="15.75">
      <c r="A12" s="55">
        <v>7</v>
      </c>
      <c r="B12" s="56" t="s">
        <v>59</v>
      </c>
      <c r="C12" s="67">
        <v>653.56</v>
      </c>
    </row>
    <row r="13" spans="1:3" ht="15.75">
      <c r="A13" s="55">
        <v>8</v>
      </c>
      <c r="B13" s="56" t="s">
        <v>12</v>
      </c>
      <c r="C13" s="67">
        <v>653.56</v>
      </c>
    </row>
    <row r="14" spans="1:3" ht="15.75">
      <c r="A14" s="55">
        <v>9</v>
      </c>
      <c r="B14" s="56" t="s">
        <v>13</v>
      </c>
      <c r="C14" s="67">
        <v>1307.12</v>
      </c>
    </row>
    <row r="15" spans="1:3" ht="15.75">
      <c r="A15" s="55">
        <v>10</v>
      </c>
      <c r="B15" s="56" t="s">
        <v>14</v>
      </c>
      <c r="C15" s="67">
        <v>1307.12</v>
      </c>
    </row>
    <row r="16" spans="1:3" ht="15.75">
      <c r="A16" s="55">
        <v>11</v>
      </c>
      <c r="B16" s="56" t="s">
        <v>15</v>
      </c>
      <c r="C16" s="67">
        <v>653.56</v>
      </c>
    </row>
    <row r="17" spans="1:3" ht="15.75">
      <c r="A17" s="55">
        <v>12</v>
      </c>
      <c r="B17" s="56" t="s">
        <v>16</v>
      </c>
      <c r="C17" s="67">
        <v>653.56</v>
      </c>
    </row>
    <row r="18" spans="1:3" ht="15.75">
      <c r="A18" s="55">
        <v>13</v>
      </c>
      <c r="B18" s="56" t="s">
        <v>17</v>
      </c>
      <c r="C18" s="67">
        <v>653.56</v>
      </c>
    </row>
    <row r="19" spans="1:3" ht="15.75">
      <c r="A19" s="55">
        <v>14</v>
      </c>
      <c r="B19" s="56" t="s">
        <v>18</v>
      </c>
      <c r="C19" s="67"/>
    </row>
    <row r="20" spans="1:3" ht="15.75">
      <c r="A20" s="55">
        <v>15</v>
      </c>
      <c r="B20" s="56" t="s">
        <v>19</v>
      </c>
      <c r="C20" s="67"/>
    </row>
    <row r="21" spans="1:3" ht="15.75">
      <c r="A21" s="55">
        <v>16</v>
      </c>
      <c r="B21" s="56" t="s">
        <v>20</v>
      </c>
      <c r="C21" s="67">
        <v>326.78</v>
      </c>
    </row>
    <row r="22" spans="1:3" ht="15.75">
      <c r="A22" s="55">
        <v>17</v>
      </c>
      <c r="B22" s="56" t="s">
        <v>21</v>
      </c>
      <c r="C22" s="67">
        <v>1307.12</v>
      </c>
    </row>
    <row r="23" spans="1:3" ht="15.75">
      <c r="A23" s="55">
        <v>18</v>
      </c>
      <c r="B23" s="56" t="s">
        <v>22</v>
      </c>
      <c r="C23" s="67">
        <v>1307.11</v>
      </c>
    </row>
    <row r="24" spans="1:3" ht="15.75">
      <c r="A24" s="55">
        <v>19</v>
      </c>
      <c r="B24" s="56" t="s">
        <v>23</v>
      </c>
      <c r="C24" s="67"/>
    </row>
    <row r="25" spans="1:3" ht="15.75">
      <c r="A25" s="55">
        <v>20</v>
      </c>
      <c r="B25" s="56" t="s">
        <v>24</v>
      </c>
      <c r="C25" s="67"/>
    </row>
    <row r="26" spans="1:3" ht="15.75">
      <c r="A26" s="55">
        <v>21</v>
      </c>
      <c r="B26" s="56" t="s">
        <v>25</v>
      </c>
      <c r="C26" s="67">
        <v>2287.39</v>
      </c>
    </row>
    <row r="27" spans="1:3" ht="15.75">
      <c r="A27" s="55">
        <v>22</v>
      </c>
      <c r="B27" s="56" t="s">
        <v>26</v>
      </c>
      <c r="C27" s="67"/>
    </row>
    <row r="28" spans="1:3" ht="15.75">
      <c r="A28" s="55">
        <v>23</v>
      </c>
      <c r="B28" s="56" t="s">
        <v>27</v>
      </c>
      <c r="C28" s="67">
        <v>326.78</v>
      </c>
    </row>
    <row r="29" spans="1:3" ht="15.75">
      <c r="A29" s="55">
        <v>24</v>
      </c>
      <c r="B29" s="56" t="s">
        <v>28</v>
      </c>
      <c r="C29" s="67"/>
    </row>
    <row r="30" spans="1:3" ht="15.75">
      <c r="A30" s="55">
        <v>25</v>
      </c>
      <c r="B30" s="56" t="s">
        <v>29</v>
      </c>
      <c r="C30" s="67">
        <v>1633.9</v>
      </c>
    </row>
    <row r="31" spans="1:3" ht="15.75">
      <c r="A31" s="55">
        <v>26</v>
      </c>
      <c r="B31" s="56" t="s">
        <v>30</v>
      </c>
      <c r="C31" s="67">
        <v>326.78</v>
      </c>
    </row>
    <row r="32" spans="1:3" ht="15.75">
      <c r="A32" s="55">
        <v>27</v>
      </c>
      <c r="B32" s="56" t="s">
        <v>40</v>
      </c>
      <c r="C32" s="67"/>
    </row>
    <row r="33" spans="1:3" ht="15.75">
      <c r="A33" s="55">
        <v>28</v>
      </c>
      <c r="B33" s="56" t="s">
        <v>41</v>
      </c>
      <c r="C33" s="67">
        <v>653.56</v>
      </c>
    </row>
    <row r="34" spans="1:3" ht="15.75">
      <c r="A34" s="55">
        <v>29</v>
      </c>
      <c r="B34" s="56" t="s">
        <v>42</v>
      </c>
      <c r="C34" s="67">
        <v>1307.12</v>
      </c>
    </row>
    <row r="35" spans="1:3" ht="15.75">
      <c r="A35" s="55">
        <v>30</v>
      </c>
      <c r="B35" s="56" t="s">
        <v>44</v>
      </c>
      <c r="C35" s="67"/>
    </row>
    <row r="36" spans="1:3" ht="15.75">
      <c r="A36" s="55">
        <v>31</v>
      </c>
      <c r="B36" s="56" t="s">
        <v>45</v>
      </c>
      <c r="C36" s="67"/>
    </row>
    <row r="37" spans="1:3" ht="15.75">
      <c r="A37" s="55">
        <v>32</v>
      </c>
      <c r="B37" s="56" t="s">
        <v>47</v>
      </c>
      <c r="C37" s="67"/>
    </row>
    <row r="38" spans="1:3" ht="15.75">
      <c r="A38" s="55">
        <v>33</v>
      </c>
      <c r="B38" s="56" t="s">
        <v>60</v>
      </c>
      <c r="C38" s="67"/>
    </row>
    <row r="39" spans="1:3" ht="15.75">
      <c r="A39" s="55">
        <v>34</v>
      </c>
      <c r="B39" s="56" t="s">
        <v>61</v>
      </c>
      <c r="C39" s="67"/>
    </row>
    <row r="40" spans="1:3" ht="15.75">
      <c r="A40" s="57"/>
      <c r="B40" s="57" t="s">
        <v>31</v>
      </c>
      <c r="C40" s="68">
        <f>SUM(C6:C39)</f>
        <v>19279.94</v>
      </c>
    </row>
  </sheetData>
  <printOptions/>
  <pageMargins left="0.75" right="0.75" top="1" bottom="1" header="0.5" footer="0.5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E40" sqref="E40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61" t="s">
        <v>82</v>
      </c>
      <c r="B3" s="61"/>
      <c r="C3" s="61"/>
      <c r="D3" s="61"/>
      <c r="E3" s="61"/>
      <c r="F3" s="61"/>
    </row>
    <row r="4" spans="1:6" ht="14.25">
      <c r="A4" s="75"/>
      <c r="B4" s="75"/>
      <c r="C4" s="75"/>
      <c r="D4" s="40"/>
      <c r="E4" s="36"/>
      <c r="F4" s="36"/>
    </row>
    <row r="5" spans="1:4" ht="31.5">
      <c r="A5" s="50" t="s">
        <v>0</v>
      </c>
      <c r="B5" s="51" t="s">
        <v>1</v>
      </c>
      <c r="C5" s="51" t="s">
        <v>67</v>
      </c>
      <c r="D5" s="51" t="s">
        <v>68</v>
      </c>
    </row>
    <row r="6" spans="1:4" ht="15.75">
      <c r="A6" s="55">
        <v>1</v>
      </c>
      <c r="B6" s="56" t="s">
        <v>6</v>
      </c>
      <c r="C6" s="67"/>
      <c r="D6" s="67"/>
    </row>
    <row r="7" spans="1:4" ht="15.75">
      <c r="A7" s="55">
        <v>2</v>
      </c>
      <c r="B7" s="56" t="s">
        <v>7</v>
      </c>
      <c r="C7" s="67"/>
      <c r="D7" s="67"/>
    </row>
    <row r="8" spans="1:4" ht="15.75">
      <c r="A8" s="55">
        <v>3</v>
      </c>
      <c r="B8" s="56" t="s">
        <v>8</v>
      </c>
      <c r="C8" s="67"/>
      <c r="D8" s="67"/>
    </row>
    <row r="9" spans="1:4" ht="15.75">
      <c r="A9" s="55">
        <v>4</v>
      </c>
      <c r="B9" s="56" t="s">
        <v>9</v>
      </c>
      <c r="C9" s="67"/>
      <c r="D9" s="67"/>
    </row>
    <row r="10" spans="1:4" ht="15.75">
      <c r="A10" s="55">
        <v>5</v>
      </c>
      <c r="B10" s="56" t="s">
        <v>10</v>
      </c>
      <c r="C10" s="67"/>
      <c r="D10" s="67"/>
    </row>
    <row r="11" spans="1:4" ht="15.75">
      <c r="A11" s="55">
        <v>6</v>
      </c>
      <c r="B11" s="56" t="s">
        <v>11</v>
      </c>
      <c r="C11" s="67"/>
      <c r="D11" s="67"/>
    </row>
    <row r="12" spans="1:4" ht="15.75">
      <c r="A12" s="55">
        <v>7</v>
      </c>
      <c r="B12" s="56" t="s">
        <v>59</v>
      </c>
      <c r="C12" s="67"/>
      <c r="D12" s="67"/>
    </row>
    <row r="13" spans="1:4" ht="15.75">
      <c r="A13" s="55">
        <v>8</v>
      </c>
      <c r="B13" s="56" t="s">
        <v>12</v>
      </c>
      <c r="C13" s="67"/>
      <c r="D13" s="67"/>
    </row>
    <row r="14" spans="1:4" ht="15.75">
      <c r="A14" s="55">
        <v>9</v>
      </c>
      <c r="B14" s="56" t="s">
        <v>13</v>
      </c>
      <c r="C14" s="67">
        <v>6599.34</v>
      </c>
      <c r="D14" s="67"/>
    </row>
    <row r="15" spans="1:4" ht="15.75">
      <c r="A15" s="55">
        <v>10</v>
      </c>
      <c r="B15" s="56" t="s">
        <v>14</v>
      </c>
      <c r="C15" s="67"/>
      <c r="D15" s="67"/>
    </row>
    <row r="16" spans="1:4" ht="15.75">
      <c r="A16" s="55">
        <v>11</v>
      </c>
      <c r="B16" s="56" t="s">
        <v>15</v>
      </c>
      <c r="C16" s="67"/>
      <c r="D16" s="67"/>
    </row>
    <row r="17" spans="1:4" ht="15.75">
      <c r="A17" s="55">
        <v>12</v>
      </c>
      <c r="B17" s="56" t="s">
        <v>16</v>
      </c>
      <c r="C17" s="67"/>
      <c r="D17" s="67"/>
    </row>
    <row r="18" spans="1:4" ht="15.75">
      <c r="A18" s="55">
        <v>13</v>
      </c>
      <c r="B18" s="56" t="s">
        <v>17</v>
      </c>
      <c r="C18" s="67">
        <v>3272.79</v>
      </c>
      <c r="D18" s="67">
        <v>12785.66</v>
      </c>
    </row>
    <row r="19" spans="1:4" ht="15.75">
      <c r="A19" s="55">
        <v>14</v>
      </c>
      <c r="B19" s="56" t="s">
        <v>18</v>
      </c>
      <c r="C19" s="67"/>
      <c r="D19" s="67"/>
    </row>
    <row r="20" spans="1:4" ht="15.75">
      <c r="A20" s="55">
        <v>15</v>
      </c>
      <c r="B20" s="56" t="s">
        <v>19</v>
      </c>
      <c r="C20" s="67"/>
      <c r="D20" s="67"/>
    </row>
    <row r="21" spans="1:4" ht="15.75">
      <c r="A21" s="55">
        <v>16</v>
      </c>
      <c r="B21" s="56" t="s">
        <v>20</v>
      </c>
      <c r="C21" s="67"/>
      <c r="D21" s="67"/>
    </row>
    <row r="22" spans="1:4" ht="15.75">
      <c r="A22" s="55">
        <v>17</v>
      </c>
      <c r="B22" s="56" t="s">
        <v>21</v>
      </c>
      <c r="C22" s="67"/>
      <c r="D22" s="67"/>
    </row>
    <row r="23" spans="1:4" ht="15.75">
      <c r="A23" s="55">
        <v>18</v>
      </c>
      <c r="B23" s="56" t="s">
        <v>22</v>
      </c>
      <c r="C23" s="67"/>
      <c r="D23" s="67">
        <v>12706.87</v>
      </c>
    </row>
    <row r="24" spans="1:4" ht="15.75">
      <c r="A24" s="55">
        <v>19</v>
      </c>
      <c r="B24" s="56" t="s">
        <v>23</v>
      </c>
      <c r="C24" s="67"/>
      <c r="D24" s="67"/>
    </row>
    <row r="25" spans="1:4" ht="15.75">
      <c r="A25" s="55">
        <v>20</v>
      </c>
      <c r="B25" s="56" t="s">
        <v>24</v>
      </c>
      <c r="C25" s="67"/>
      <c r="D25" s="67"/>
    </row>
    <row r="26" spans="1:4" ht="15.75">
      <c r="A26" s="55">
        <v>21</v>
      </c>
      <c r="B26" s="56" t="s">
        <v>25</v>
      </c>
      <c r="C26" s="67">
        <v>675.36</v>
      </c>
      <c r="D26" s="67"/>
    </row>
    <row r="27" spans="1:4" ht="15.75">
      <c r="A27" s="55">
        <v>22</v>
      </c>
      <c r="B27" s="56" t="s">
        <v>26</v>
      </c>
      <c r="C27" s="67"/>
      <c r="D27" s="67"/>
    </row>
    <row r="28" spans="1:4" ht="15.75">
      <c r="A28" s="55">
        <v>23</v>
      </c>
      <c r="B28" s="56" t="s">
        <v>27</v>
      </c>
      <c r="C28" s="67"/>
      <c r="D28" s="67"/>
    </row>
    <row r="29" spans="1:4" ht="15.75">
      <c r="A29" s="55">
        <v>24</v>
      </c>
      <c r="B29" s="56" t="s">
        <v>28</v>
      </c>
      <c r="C29" s="67"/>
      <c r="D29" s="67"/>
    </row>
    <row r="30" spans="1:4" ht="15.75">
      <c r="A30" s="55">
        <v>25</v>
      </c>
      <c r="B30" s="56" t="s">
        <v>29</v>
      </c>
      <c r="C30" s="67"/>
      <c r="D30" s="67"/>
    </row>
    <row r="31" spans="1:4" ht="15.75">
      <c r="A31" s="55">
        <v>26</v>
      </c>
      <c r="B31" s="56" t="s">
        <v>30</v>
      </c>
      <c r="C31" s="67"/>
      <c r="D31" s="67"/>
    </row>
    <row r="32" spans="1:4" ht="15.75">
      <c r="A32" s="55">
        <v>27</v>
      </c>
      <c r="B32" s="56" t="s">
        <v>40</v>
      </c>
      <c r="C32" s="67"/>
      <c r="D32" s="67"/>
    </row>
    <row r="33" spans="1:4" ht="15.75">
      <c r="A33" s="55">
        <v>28</v>
      </c>
      <c r="B33" s="56" t="s">
        <v>41</v>
      </c>
      <c r="C33" s="67"/>
      <c r="D33" s="67">
        <v>2760.7</v>
      </c>
    </row>
    <row r="34" spans="1:4" ht="15.75">
      <c r="A34" s="55">
        <v>29</v>
      </c>
      <c r="B34" s="56" t="s">
        <v>42</v>
      </c>
      <c r="C34" s="67"/>
      <c r="D34" s="67"/>
    </row>
    <row r="35" spans="1:4" ht="15.75">
      <c r="A35" s="55">
        <v>30</v>
      </c>
      <c r="B35" s="56" t="s">
        <v>44</v>
      </c>
      <c r="C35" s="67"/>
      <c r="D35" s="67"/>
    </row>
    <row r="36" spans="1:4" ht="15.75">
      <c r="A36" s="55">
        <v>31</v>
      </c>
      <c r="B36" s="56" t="s">
        <v>45</v>
      </c>
      <c r="C36" s="67"/>
      <c r="D36" s="67"/>
    </row>
    <row r="37" spans="1:4" ht="15.75">
      <c r="A37" s="55">
        <v>32</v>
      </c>
      <c r="B37" s="56" t="s">
        <v>47</v>
      </c>
      <c r="C37" s="67"/>
      <c r="D37" s="67"/>
    </row>
    <row r="38" spans="1:4" ht="15.75">
      <c r="A38" s="55">
        <v>33</v>
      </c>
      <c r="B38" s="56" t="s">
        <v>60</v>
      </c>
      <c r="C38" s="67"/>
      <c r="D38" s="67"/>
    </row>
    <row r="39" spans="1:4" ht="15.75">
      <c r="A39" s="55">
        <v>34</v>
      </c>
      <c r="B39" s="56" t="s">
        <v>61</v>
      </c>
      <c r="C39" s="67"/>
      <c r="D39" s="67"/>
    </row>
    <row r="40" spans="1:4" ht="15.75">
      <c r="A40" s="57"/>
      <c r="B40" s="57" t="s">
        <v>31</v>
      </c>
      <c r="C40" s="68">
        <f>SUM(C6:C39)</f>
        <v>10547.490000000002</v>
      </c>
      <c r="D40" s="68">
        <f>SUM(D6:D39)</f>
        <v>28253.23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1"/>
  <sheetViews>
    <sheetView view="pageBreakPreview" zoomScale="60" workbookViewId="0" topLeftCell="A1">
      <selection activeCell="A3" sqref="A3:G3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71" t="s">
        <v>72</v>
      </c>
      <c r="B3" s="71"/>
      <c r="C3" s="71"/>
      <c r="D3" s="71"/>
      <c r="E3" s="71"/>
      <c r="F3" s="71"/>
      <c r="G3" s="72"/>
    </row>
    <row r="4" spans="1:6" ht="15">
      <c r="A4" s="34"/>
      <c r="B4" s="35"/>
      <c r="C4" s="35"/>
      <c r="D4" s="34"/>
      <c r="E4" s="34"/>
      <c r="F4" s="34"/>
    </row>
    <row r="5" spans="1:6" ht="15" thickBot="1">
      <c r="A5" s="36"/>
      <c r="B5" s="36"/>
      <c r="C5" s="37"/>
      <c r="D5" s="36"/>
      <c r="E5" s="38"/>
      <c r="F5" s="36"/>
    </row>
    <row r="6" spans="1:6" ht="46.5" customHeight="1" thickBot="1">
      <c r="A6" s="50" t="s">
        <v>0</v>
      </c>
      <c r="B6" s="51" t="s">
        <v>1</v>
      </c>
      <c r="C6" s="46" t="s">
        <v>32</v>
      </c>
      <c r="D6" s="46" t="s">
        <v>33</v>
      </c>
      <c r="E6" s="47" t="s">
        <v>34</v>
      </c>
      <c r="F6" s="36"/>
    </row>
    <row r="7" spans="1:9" ht="15.75">
      <c r="A7" s="55">
        <v>1</v>
      </c>
      <c r="B7" s="56" t="s">
        <v>6</v>
      </c>
      <c r="C7" s="44">
        <v>5608.07</v>
      </c>
      <c r="D7" s="44">
        <v>4489.1</v>
      </c>
      <c r="E7" s="45">
        <f>C7+D7</f>
        <v>10097.17</v>
      </c>
      <c r="F7" s="36"/>
      <c r="H7" s="3"/>
      <c r="I7" s="3"/>
    </row>
    <row r="8" spans="1:8" ht="15.75">
      <c r="A8" s="55">
        <v>2</v>
      </c>
      <c r="B8" s="56" t="s">
        <v>7</v>
      </c>
      <c r="C8" s="6">
        <v>3498.12</v>
      </c>
      <c r="D8" s="6">
        <v>2798.6</v>
      </c>
      <c r="E8" s="45">
        <f aca="true" t="shared" si="0" ref="E8:E41">C8+D8</f>
        <v>6296.719999999999</v>
      </c>
      <c r="F8" s="36"/>
      <c r="H8" s="3"/>
    </row>
    <row r="9" spans="1:8" ht="15.75">
      <c r="A9" s="55">
        <v>3</v>
      </c>
      <c r="B9" s="56" t="s">
        <v>8</v>
      </c>
      <c r="C9" s="1">
        <v>3837.71</v>
      </c>
      <c r="D9" s="6">
        <v>3070.3</v>
      </c>
      <c r="E9" s="45">
        <f t="shared" si="0"/>
        <v>6908.01</v>
      </c>
      <c r="F9" s="36"/>
      <c r="H9" s="3"/>
    </row>
    <row r="10" spans="1:8" ht="15.75">
      <c r="A10" s="55">
        <v>4</v>
      </c>
      <c r="B10" s="56" t="s">
        <v>9</v>
      </c>
      <c r="C10" s="6">
        <v>3580.25</v>
      </c>
      <c r="D10" s="6">
        <v>2851.09</v>
      </c>
      <c r="E10" s="45">
        <f t="shared" si="0"/>
        <v>6431.34</v>
      </c>
      <c r="F10" s="36"/>
      <c r="H10" s="3"/>
    </row>
    <row r="11" spans="1:8" ht="15.75">
      <c r="A11" s="55">
        <v>5</v>
      </c>
      <c r="B11" s="56" t="s">
        <v>10</v>
      </c>
      <c r="C11" s="6">
        <v>1635.52</v>
      </c>
      <c r="D11" s="6">
        <v>1308.44</v>
      </c>
      <c r="E11" s="45">
        <f t="shared" si="0"/>
        <v>2943.96</v>
      </c>
      <c r="F11" s="36"/>
      <c r="H11" s="3"/>
    </row>
    <row r="12" spans="1:8" ht="15.75">
      <c r="A12" s="55">
        <v>6</v>
      </c>
      <c r="B12" s="56" t="s">
        <v>11</v>
      </c>
      <c r="C12" s="6">
        <v>5009.68</v>
      </c>
      <c r="D12" s="6">
        <v>4007.92</v>
      </c>
      <c r="E12" s="45">
        <f t="shared" si="0"/>
        <v>9017.6</v>
      </c>
      <c r="F12" s="36"/>
      <c r="H12" s="3"/>
    </row>
    <row r="13" spans="1:8" ht="15.75">
      <c r="A13" s="55">
        <v>7</v>
      </c>
      <c r="B13" s="56" t="s">
        <v>59</v>
      </c>
      <c r="C13" s="6">
        <v>7746.9</v>
      </c>
      <c r="D13" s="6">
        <v>6198.28</v>
      </c>
      <c r="E13" s="45">
        <f t="shared" si="0"/>
        <v>13945.18</v>
      </c>
      <c r="F13" s="36"/>
      <c r="H13" s="3"/>
    </row>
    <row r="14" spans="1:8" ht="15.75">
      <c r="A14" s="55">
        <v>8</v>
      </c>
      <c r="B14" s="56" t="s">
        <v>12</v>
      </c>
      <c r="C14" s="6">
        <v>493.93</v>
      </c>
      <c r="D14" s="6">
        <v>395.19</v>
      </c>
      <c r="E14" s="45">
        <f t="shared" si="0"/>
        <v>889.12</v>
      </c>
      <c r="F14" s="36"/>
      <c r="H14" s="3"/>
    </row>
    <row r="15" spans="1:8" ht="15.75">
      <c r="A15" s="55">
        <v>9</v>
      </c>
      <c r="B15" s="56" t="s">
        <v>13</v>
      </c>
      <c r="C15" s="6">
        <v>2803.4</v>
      </c>
      <c r="D15" s="6">
        <v>2242.92</v>
      </c>
      <c r="E15" s="45">
        <f t="shared" si="0"/>
        <v>5046.32</v>
      </c>
      <c r="F15" s="36"/>
      <c r="H15" s="3"/>
    </row>
    <row r="16" spans="1:8" ht="15.75">
      <c r="A16" s="55">
        <v>10</v>
      </c>
      <c r="B16" s="56" t="s">
        <v>14</v>
      </c>
      <c r="C16" s="6">
        <v>8356.92</v>
      </c>
      <c r="D16" s="6">
        <v>6686.21</v>
      </c>
      <c r="E16" s="45">
        <f t="shared" si="0"/>
        <v>15043.130000000001</v>
      </c>
      <c r="F16" s="36"/>
      <c r="H16" s="3"/>
    </row>
    <row r="17" spans="1:8" ht="15.75">
      <c r="A17" s="55">
        <v>11</v>
      </c>
      <c r="B17" s="56" t="s">
        <v>15</v>
      </c>
      <c r="C17" s="6">
        <v>5223.38</v>
      </c>
      <c r="D17" s="6">
        <v>4178.8</v>
      </c>
      <c r="E17" s="45">
        <f t="shared" si="0"/>
        <v>9402.18</v>
      </c>
      <c r="F17" s="36"/>
      <c r="H17" s="3"/>
    </row>
    <row r="18" spans="1:8" ht="15.75">
      <c r="A18" s="55">
        <v>12</v>
      </c>
      <c r="B18" s="56" t="s">
        <v>16</v>
      </c>
      <c r="C18" s="6">
        <v>1416.78</v>
      </c>
      <c r="D18" s="6">
        <v>1133.61</v>
      </c>
      <c r="E18" s="45">
        <f t="shared" si="0"/>
        <v>2550.39</v>
      </c>
      <c r="F18" s="36"/>
      <c r="H18" s="3"/>
    </row>
    <row r="19" spans="1:8" ht="15.75">
      <c r="A19" s="55">
        <v>13</v>
      </c>
      <c r="B19" s="56" t="s">
        <v>17</v>
      </c>
      <c r="C19" s="6">
        <v>3782.63</v>
      </c>
      <c r="D19" s="6">
        <v>3026.34</v>
      </c>
      <c r="E19" s="45">
        <f t="shared" si="0"/>
        <v>6808.97</v>
      </c>
      <c r="F19" s="36"/>
      <c r="H19" s="3"/>
    </row>
    <row r="20" spans="1:8" ht="15.75">
      <c r="A20" s="55">
        <v>14</v>
      </c>
      <c r="B20" s="56" t="s">
        <v>18</v>
      </c>
      <c r="C20" s="6">
        <v>4053.51</v>
      </c>
      <c r="D20" s="6">
        <v>3243.22</v>
      </c>
      <c r="E20" s="45">
        <f t="shared" si="0"/>
        <v>7296.73</v>
      </c>
      <c r="F20" s="36"/>
      <c r="H20" s="3"/>
    </row>
    <row r="21" spans="1:8" ht="15.75">
      <c r="A21" s="55">
        <v>15</v>
      </c>
      <c r="B21" s="56" t="s">
        <v>19</v>
      </c>
      <c r="C21" s="6">
        <v>467.95</v>
      </c>
      <c r="D21" s="6">
        <v>374.33</v>
      </c>
      <c r="E21" s="45">
        <f t="shared" si="0"/>
        <v>842.28</v>
      </c>
      <c r="F21" s="36"/>
      <c r="H21" s="3"/>
    </row>
    <row r="22" spans="1:8" ht="15.75">
      <c r="A22" s="55">
        <v>16</v>
      </c>
      <c r="B22" s="56" t="s">
        <v>20</v>
      </c>
      <c r="C22" s="6">
        <v>1017.82</v>
      </c>
      <c r="D22" s="6">
        <v>814.29</v>
      </c>
      <c r="E22" s="45">
        <f t="shared" si="0"/>
        <v>1832.1100000000001</v>
      </c>
      <c r="F22" s="36"/>
      <c r="H22" s="3"/>
    </row>
    <row r="23" spans="1:8" ht="15.75">
      <c r="A23" s="55">
        <v>17</v>
      </c>
      <c r="B23" s="56" t="s">
        <v>21</v>
      </c>
      <c r="C23" s="6">
        <v>2589.21</v>
      </c>
      <c r="D23" s="6">
        <v>2071.46</v>
      </c>
      <c r="E23" s="45">
        <f t="shared" si="0"/>
        <v>4660.67</v>
      </c>
      <c r="F23" s="36"/>
      <c r="H23" s="3"/>
    </row>
    <row r="24" spans="1:8" ht="15.75">
      <c r="A24" s="55">
        <v>18</v>
      </c>
      <c r="B24" s="56" t="s">
        <v>22</v>
      </c>
      <c r="C24" s="6">
        <v>7009.95</v>
      </c>
      <c r="D24" s="6">
        <v>5608.98</v>
      </c>
      <c r="E24" s="45">
        <f t="shared" si="0"/>
        <v>12618.93</v>
      </c>
      <c r="F24" s="36"/>
      <c r="H24" s="3"/>
    </row>
    <row r="25" spans="1:8" ht="15.75">
      <c r="A25" s="55">
        <v>19</v>
      </c>
      <c r="B25" s="56" t="s">
        <v>23</v>
      </c>
      <c r="C25" s="6">
        <v>562.53</v>
      </c>
      <c r="D25" s="6">
        <v>449.98</v>
      </c>
      <c r="E25" s="45">
        <f t="shared" si="0"/>
        <v>1012.51</v>
      </c>
      <c r="F25" s="36"/>
      <c r="H25" s="3"/>
    </row>
    <row r="26" spans="1:8" ht="15.75">
      <c r="A26" s="55">
        <v>20</v>
      </c>
      <c r="B26" s="56" t="s">
        <v>24</v>
      </c>
      <c r="C26" s="6">
        <v>2454.43</v>
      </c>
      <c r="D26" s="6">
        <v>1963.65</v>
      </c>
      <c r="E26" s="45">
        <f t="shared" si="0"/>
        <v>4418.08</v>
      </c>
      <c r="F26" s="36"/>
      <c r="H26" s="3"/>
    </row>
    <row r="27" spans="1:8" ht="15.75">
      <c r="A27" s="55">
        <v>21</v>
      </c>
      <c r="B27" s="56" t="s">
        <v>25</v>
      </c>
      <c r="C27" s="6">
        <v>5484.63</v>
      </c>
      <c r="D27" s="6">
        <v>4388.78</v>
      </c>
      <c r="E27" s="45">
        <f t="shared" si="0"/>
        <v>9873.41</v>
      </c>
      <c r="F27" s="36"/>
      <c r="H27" s="3"/>
    </row>
    <row r="28" spans="1:8" ht="15.75">
      <c r="A28" s="55">
        <v>22</v>
      </c>
      <c r="B28" s="56" t="s">
        <v>26</v>
      </c>
      <c r="C28" s="6">
        <v>97.21</v>
      </c>
      <c r="D28" s="6">
        <v>77.75</v>
      </c>
      <c r="E28" s="45">
        <f t="shared" si="0"/>
        <v>174.95999999999998</v>
      </c>
      <c r="F28" s="36"/>
      <c r="H28" s="3"/>
    </row>
    <row r="29" spans="1:8" ht="15.75">
      <c r="A29" s="55">
        <v>23</v>
      </c>
      <c r="B29" s="56" t="s">
        <v>27</v>
      </c>
      <c r="C29" s="6">
        <v>2573.12</v>
      </c>
      <c r="D29" s="6">
        <v>2058.58</v>
      </c>
      <c r="E29" s="45">
        <f t="shared" si="0"/>
        <v>4631.7</v>
      </c>
      <c r="F29" s="36"/>
      <c r="H29" s="3"/>
    </row>
    <row r="30" spans="1:8" ht="15.75">
      <c r="A30" s="55">
        <v>24</v>
      </c>
      <c r="B30" s="56" t="s">
        <v>28</v>
      </c>
      <c r="C30" s="6">
        <v>2306.19</v>
      </c>
      <c r="D30" s="6">
        <v>1834.63</v>
      </c>
      <c r="E30" s="45">
        <f t="shared" si="0"/>
        <v>4140.82</v>
      </c>
      <c r="F30" s="36"/>
      <c r="H30" s="3"/>
    </row>
    <row r="31" spans="1:8" ht="15.75">
      <c r="A31" s="55">
        <v>25</v>
      </c>
      <c r="B31" s="56" t="s">
        <v>29</v>
      </c>
      <c r="C31" s="6">
        <v>8072.67</v>
      </c>
      <c r="D31" s="6">
        <v>6458.39</v>
      </c>
      <c r="E31" s="45">
        <f t="shared" si="0"/>
        <v>14531.060000000001</v>
      </c>
      <c r="F31" s="36"/>
      <c r="H31" s="3"/>
    </row>
    <row r="32" spans="1:8" ht="15.75">
      <c r="A32" s="55">
        <v>26</v>
      </c>
      <c r="B32" s="56" t="s">
        <v>30</v>
      </c>
      <c r="C32" s="6">
        <v>8921.38</v>
      </c>
      <c r="D32" s="6">
        <v>7137.78</v>
      </c>
      <c r="E32" s="45">
        <f t="shared" si="0"/>
        <v>16059.16</v>
      </c>
      <c r="F32" s="36"/>
      <c r="H32" s="3"/>
    </row>
    <row r="33" spans="1:8" ht="15.75">
      <c r="A33" s="55">
        <v>27</v>
      </c>
      <c r="B33" s="56" t="s">
        <v>40</v>
      </c>
      <c r="C33" s="6">
        <v>1047.48</v>
      </c>
      <c r="D33" s="6">
        <v>838.08</v>
      </c>
      <c r="E33" s="45">
        <f t="shared" si="0"/>
        <v>1885.56</v>
      </c>
      <c r="F33" s="36"/>
      <c r="H33" s="3"/>
    </row>
    <row r="34" spans="1:8" ht="15.75">
      <c r="A34" s="55">
        <v>28</v>
      </c>
      <c r="B34" s="56" t="s">
        <v>41</v>
      </c>
      <c r="C34" s="6">
        <v>2884.78</v>
      </c>
      <c r="D34" s="6">
        <v>2308.08</v>
      </c>
      <c r="E34" s="45">
        <f t="shared" si="0"/>
        <v>5192.860000000001</v>
      </c>
      <c r="F34" s="36"/>
      <c r="H34" s="3"/>
    </row>
    <row r="35" spans="1:8" ht="15.75">
      <c r="A35" s="55">
        <v>29</v>
      </c>
      <c r="B35" s="56" t="s">
        <v>42</v>
      </c>
      <c r="C35" s="6">
        <v>4577.67</v>
      </c>
      <c r="D35" s="6">
        <v>3662.42</v>
      </c>
      <c r="E35" s="45">
        <f t="shared" si="0"/>
        <v>8240.09</v>
      </c>
      <c r="F35" s="36"/>
      <c r="H35" s="3"/>
    </row>
    <row r="36" spans="1:8" ht="15.75">
      <c r="A36" s="55">
        <v>30</v>
      </c>
      <c r="B36" s="56" t="s">
        <v>44</v>
      </c>
      <c r="C36" s="6">
        <v>1910.05</v>
      </c>
      <c r="D36" s="6">
        <v>1528.07</v>
      </c>
      <c r="E36" s="45">
        <f t="shared" si="0"/>
        <v>3438.12</v>
      </c>
      <c r="F36" s="36"/>
      <c r="H36" s="3"/>
    </row>
    <row r="37" spans="1:8" ht="15.75">
      <c r="A37" s="55">
        <v>31</v>
      </c>
      <c r="B37" s="56" t="s">
        <v>45</v>
      </c>
      <c r="C37" s="6"/>
      <c r="D37" s="6"/>
      <c r="E37" s="45">
        <f t="shared" si="0"/>
        <v>0</v>
      </c>
      <c r="F37" s="36"/>
      <c r="H37" s="3"/>
    </row>
    <row r="38" spans="1:8" ht="15.75">
      <c r="A38" s="55">
        <v>32</v>
      </c>
      <c r="B38" s="56" t="s">
        <v>47</v>
      </c>
      <c r="C38" s="6">
        <v>1820.31</v>
      </c>
      <c r="D38" s="6">
        <v>1456.59</v>
      </c>
      <c r="E38" s="45">
        <f t="shared" si="0"/>
        <v>3276.8999999999996</v>
      </c>
      <c r="F38" s="36"/>
      <c r="H38" s="3"/>
    </row>
    <row r="39" spans="1:8" ht="15.75">
      <c r="A39" s="55">
        <v>33</v>
      </c>
      <c r="B39" s="56" t="s">
        <v>60</v>
      </c>
      <c r="C39" s="6">
        <v>40.1</v>
      </c>
      <c r="D39" s="6">
        <v>32.09</v>
      </c>
      <c r="E39" s="45">
        <f t="shared" si="0"/>
        <v>72.19</v>
      </c>
      <c r="F39" s="36"/>
      <c r="H39" s="3"/>
    </row>
    <row r="40" spans="1:8" ht="15.75">
      <c r="A40" s="55">
        <v>34</v>
      </c>
      <c r="B40" s="56" t="s">
        <v>61</v>
      </c>
      <c r="C40" s="6">
        <v>474.2</v>
      </c>
      <c r="D40" s="6">
        <v>379.37</v>
      </c>
      <c r="E40" s="45">
        <f t="shared" si="0"/>
        <v>853.5699999999999</v>
      </c>
      <c r="F40" s="36"/>
      <c r="H40" s="3"/>
    </row>
    <row r="41" spans="1:8" ht="15.75">
      <c r="A41" s="57"/>
      <c r="B41" s="57" t="s">
        <v>31</v>
      </c>
      <c r="C41" s="69">
        <f>SUM(C7:C40)</f>
        <v>111358.48</v>
      </c>
      <c r="D41" s="69">
        <f>SUM(D7:D40)</f>
        <v>89073.32</v>
      </c>
      <c r="E41" s="45">
        <f t="shared" si="0"/>
        <v>200431.8</v>
      </c>
      <c r="F41" s="36"/>
      <c r="H41" s="3"/>
    </row>
    <row r="43" ht="12.75">
      <c r="D43" s="3"/>
    </row>
    <row r="44" ht="12.75">
      <c r="C44" s="3"/>
    </row>
    <row r="45" ht="12.75">
      <c r="E45" s="3"/>
    </row>
    <row r="51" ht="12.75">
      <c r="C51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49"/>
  <sheetViews>
    <sheetView workbookViewId="0" topLeftCell="A1">
      <selection activeCell="C45" sqref="C45"/>
    </sheetView>
  </sheetViews>
  <sheetFormatPr defaultColWidth="9.140625" defaultRowHeight="12.75"/>
  <cols>
    <col min="2" max="2" width="34.421875" style="0" customWidth="1"/>
    <col min="3" max="3" width="12.57421875" style="0" customWidth="1"/>
    <col min="4" max="5" width="13.140625" style="0" bestFit="1" customWidth="1"/>
  </cols>
  <sheetData>
    <row r="3" spans="1:7" ht="15">
      <c r="A3" s="73" t="s">
        <v>73</v>
      </c>
      <c r="B3" s="73"/>
      <c r="C3" s="73"/>
      <c r="D3" s="73"/>
      <c r="E3" s="73"/>
      <c r="F3" s="73"/>
      <c r="G3" s="73"/>
    </row>
    <row r="4" spans="1:7" ht="14.25">
      <c r="A4" s="36"/>
      <c r="B4" s="36"/>
      <c r="C4" s="38"/>
      <c r="D4" s="1"/>
      <c r="E4" s="1"/>
      <c r="F4" s="36"/>
      <c r="G4" s="36"/>
    </row>
    <row r="5" spans="1:7" ht="30">
      <c r="A5" s="50" t="s">
        <v>0</v>
      </c>
      <c r="B5" s="51" t="s">
        <v>1</v>
      </c>
      <c r="C5" s="43" t="s">
        <v>35</v>
      </c>
      <c r="D5" s="1"/>
      <c r="E5" s="1"/>
      <c r="F5" s="36"/>
      <c r="G5" s="36"/>
    </row>
    <row r="6" spans="1:7" ht="15.75">
      <c r="A6" s="55">
        <v>1</v>
      </c>
      <c r="B6" s="56" t="s">
        <v>6</v>
      </c>
      <c r="C6" s="70">
        <v>22186.89</v>
      </c>
      <c r="D6" s="1"/>
      <c r="E6" s="1"/>
      <c r="F6" s="36"/>
      <c r="G6" s="36"/>
    </row>
    <row r="7" spans="1:7" ht="15.75">
      <c r="A7" s="55">
        <v>2</v>
      </c>
      <c r="B7" s="56" t="s">
        <v>7</v>
      </c>
      <c r="C7" s="70">
        <v>16451.22</v>
      </c>
      <c r="D7" s="1"/>
      <c r="E7" s="1"/>
      <c r="F7" s="36"/>
      <c r="G7" s="36"/>
    </row>
    <row r="8" spans="1:7" ht="15.75">
      <c r="A8" s="55">
        <v>3</v>
      </c>
      <c r="B8" s="56" t="s">
        <v>8</v>
      </c>
      <c r="C8" s="70">
        <v>4953.22</v>
      </c>
      <c r="D8" s="1"/>
      <c r="E8" s="1"/>
      <c r="F8" s="36"/>
      <c r="G8" s="36"/>
    </row>
    <row r="9" spans="1:7" ht="15.75">
      <c r="A9" s="55">
        <v>4</v>
      </c>
      <c r="B9" s="56" t="s">
        <v>9</v>
      </c>
      <c r="C9" s="70">
        <v>2821.35</v>
      </c>
      <c r="D9" s="1"/>
      <c r="E9" s="1"/>
      <c r="F9" s="36"/>
      <c r="G9" s="36"/>
    </row>
    <row r="10" spans="1:7" ht="15.75">
      <c r="A10" s="55">
        <v>5</v>
      </c>
      <c r="B10" s="56" t="s">
        <v>10</v>
      </c>
      <c r="C10" s="70">
        <v>22898.17</v>
      </c>
      <c r="D10" s="1"/>
      <c r="E10" s="1"/>
      <c r="F10" s="36"/>
      <c r="G10" s="36"/>
    </row>
    <row r="11" spans="1:7" ht="15.75">
      <c r="A11" s="55">
        <v>6</v>
      </c>
      <c r="B11" s="56" t="s">
        <v>11</v>
      </c>
      <c r="C11" s="70">
        <v>52902.61</v>
      </c>
      <c r="D11" s="1"/>
      <c r="E11" s="1"/>
      <c r="F11" s="36"/>
      <c r="G11" s="36"/>
    </row>
    <row r="12" spans="1:7" ht="15.75">
      <c r="A12" s="55">
        <v>7</v>
      </c>
      <c r="B12" s="56" t="s">
        <v>59</v>
      </c>
      <c r="C12" s="70">
        <v>28841.83</v>
      </c>
      <c r="D12" s="1"/>
      <c r="E12" s="1"/>
      <c r="F12" s="36"/>
      <c r="G12" s="36"/>
    </row>
    <row r="13" spans="1:7" ht="15.75">
      <c r="A13" s="55">
        <v>8</v>
      </c>
      <c r="B13" s="56" t="s">
        <v>12</v>
      </c>
      <c r="C13" s="70">
        <v>37038.37</v>
      </c>
      <c r="D13" s="1"/>
      <c r="E13" s="1"/>
      <c r="F13" s="36"/>
      <c r="G13" s="36"/>
    </row>
    <row r="14" spans="1:7" ht="15.75">
      <c r="A14" s="55">
        <v>9</v>
      </c>
      <c r="B14" s="56" t="s">
        <v>13</v>
      </c>
      <c r="C14" s="70">
        <v>11963.96</v>
      </c>
      <c r="D14" s="1"/>
      <c r="E14" s="1"/>
      <c r="F14" s="36"/>
      <c r="G14" s="36"/>
    </row>
    <row r="15" spans="1:7" ht="15.75">
      <c r="A15" s="55">
        <v>10</v>
      </c>
      <c r="B15" s="56" t="s">
        <v>14</v>
      </c>
      <c r="C15" s="70">
        <v>17284.01</v>
      </c>
      <c r="D15" s="1"/>
      <c r="E15" s="1"/>
      <c r="F15" s="36"/>
      <c r="G15" s="36"/>
    </row>
    <row r="16" spans="1:7" ht="15.75">
      <c r="A16" s="55">
        <v>11</v>
      </c>
      <c r="B16" s="56" t="s">
        <v>15</v>
      </c>
      <c r="C16" s="70">
        <v>10312.84</v>
      </c>
      <c r="D16" s="1"/>
      <c r="E16" s="1"/>
      <c r="F16" s="36"/>
      <c r="G16" s="36"/>
    </row>
    <row r="17" spans="1:7" ht="15.75">
      <c r="A17" s="55">
        <v>12</v>
      </c>
      <c r="B17" s="56" t="s">
        <v>16</v>
      </c>
      <c r="C17" s="70">
        <v>2601.55</v>
      </c>
      <c r="D17" s="1"/>
      <c r="E17" s="1"/>
      <c r="F17" s="36"/>
      <c r="G17" s="36"/>
    </row>
    <row r="18" spans="1:7" ht="15.75">
      <c r="A18" s="55">
        <v>13</v>
      </c>
      <c r="B18" s="56" t="s">
        <v>17</v>
      </c>
      <c r="C18" s="70">
        <v>14430.11</v>
      </c>
      <c r="D18" s="1"/>
      <c r="E18" s="1"/>
      <c r="F18" s="36"/>
      <c r="G18" s="36"/>
    </row>
    <row r="19" spans="1:7" ht="15.75">
      <c r="A19" s="55">
        <v>14</v>
      </c>
      <c r="B19" s="56" t="s">
        <v>18</v>
      </c>
      <c r="C19" s="70">
        <v>780.13</v>
      </c>
      <c r="D19" s="1"/>
      <c r="E19" s="1"/>
      <c r="F19" s="36"/>
      <c r="G19" s="36"/>
    </row>
    <row r="20" spans="1:7" ht="15.75">
      <c r="A20" s="55">
        <v>15</v>
      </c>
      <c r="B20" s="56" t="s">
        <v>19</v>
      </c>
      <c r="C20" s="70">
        <v>23.76</v>
      </c>
      <c r="D20" s="1"/>
      <c r="E20" s="1"/>
      <c r="F20" s="36"/>
      <c r="G20" s="36"/>
    </row>
    <row r="21" spans="1:7" ht="15.75">
      <c r="A21" s="55">
        <v>16</v>
      </c>
      <c r="B21" s="56" t="s">
        <v>20</v>
      </c>
      <c r="C21" s="70">
        <v>1697.13</v>
      </c>
      <c r="D21" s="1"/>
      <c r="E21" s="1"/>
      <c r="F21" s="36"/>
      <c r="G21" s="36"/>
    </row>
    <row r="22" spans="1:7" ht="15.75">
      <c r="A22" s="55">
        <v>17</v>
      </c>
      <c r="B22" s="56" t="s">
        <v>21</v>
      </c>
      <c r="C22" s="70">
        <v>7864.66</v>
      </c>
      <c r="D22" s="1"/>
      <c r="E22" s="1"/>
      <c r="F22" s="36"/>
      <c r="G22" s="36"/>
    </row>
    <row r="23" spans="1:7" ht="15.75">
      <c r="A23" s="55">
        <v>18</v>
      </c>
      <c r="B23" s="56" t="s">
        <v>22</v>
      </c>
      <c r="C23" s="70">
        <v>22083.76</v>
      </c>
      <c r="D23" s="1"/>
      <c r="E23" s="1"/>
      <c r="F23" s="36"/>
      <c r="G23" s="36"/>
    </row>
    <row r="24" spans="1:7" ht="15.75">
      <c r="A24" s="55">
        <v>19</v>
      </c>
      <c r="B24" s="56" t="s">
        <v>23</v>
      </c>
      <c r="C24" s="70">
        <v>600.76</v>
      </c>
      <c r="D24" s="1"/>
      <c r="E24" s="1"/>
      <c r="F24" s="36"/>
      <c r="G24" s="36"/>
    </row>
    <row r="25" spans="1:7" ht="15.75">
      <c r="A25" s="55">
        <v>20</v>
      </c>
      <c r="B25" s="56" t="s">
        <v>24</v>
      </c>
      <c r="C25" s="70">
        <v>752.26</v>
      </c>
      <c r="D25" s="1"/>
      <c r="E25" s="1"/>
      <c r="F25" s="36"/>
      <c r="G25" s="36"/>
    </row>
    <row r="26" spans="1:7" ht="15.75">
      <c r="A26" s="55">
        <v>21</v>
      </c>
      <c r="B26" s="56" t="s">
        <v>25</v>
      </c>
      <c r="C26" s="70">
        <v>41175.64</v>
      </c>
      <c r="D26" s="1"/>
      <c r="E26" s="1"/>
      <c r="F26" s="36"/>
      <c r="G26" s="36"/>
    </row>
    <row r="27" spans="1:7" ht="15.75">
      <c r="A27" s="55">
        <v>22</v>
      </c>
      <c r="B27" s="56" t="s">
        <v>26</v>
      </c>
      <c r="C27" s="70">
        <v>11210.54</v>
      </c>
      <c r="D27" s="1"/>
      <c r="E27" s="1"/>
      <c r="F27" s="36"/>
      <c r="G27" s="36"/>
    </row>
    <row r="28" spans="1:7" ht="15.75">
      <c r="A28" s="55">
        <v>23</v>
      </c>
      <c r="B28" s="56" t="s">
        <v>27</v>
      </c>
      <c r="C28" s="70">
        <v>8413.54</v>
      </c>
      <c r="D28" s="1"/>
      <c r="E28" s="1"/>
      <c r="F28" s="36"/>
      <c r="G28" s="36"/>
    </row>
    <row r="29" spans="1:7" ht="15.75">
      <c r="A29" s="55">
        <v>24</v>
      </c>
      <c r="B29" s="56" t="s">
        <v>28</v>
      </c>
      <c r="C29" s="70">
        <v>2829.79</v>
      </c>
      <c r="D29" s="1"/>
      <c r="E29" s="1"/>
      <c r="F29" s="36"/>
      <c r="G29" s="36"/>
    </row>
    <row r="30" spans="1:7" ht="15.75">
      <c r="A30" s="55">
        <v>25</v>
      </c>
      <c r="B30" s="56" t="s">
        <v>29</v>
      </c>
      <c r="C30" s="70">
        <v>22562.49</v>
      </c>
      <c r="D30" s="1"/>
      <c r="E30" s="1"/>
      <c r="F30" s="36"/>
      <c r="G30" s="36"/>
    </row>
    <row r="31" spans="1:7" ht="15.75">
      <c r="A31" s="55">
        <v>26</v>
      </c>
      <c r="B31" s="56" t="s">
        <v>30</v>
      </c>
      <c r="C31" s="70">
        <v>12535.32</v>
      </c>
      <c r="D31" s="1"/>
      <c r="E31" s="1"/>
      <c r="F31" s="36"/>
      <c r="G31" s="36"/>
    </row>
    <row r="32" spans="1:7" ht="15.75">
      <c r="A32" s="55">
        <v>27</v>
      </c>
      <c r="B32" s="56" t="s">
        <v>40</v>
      </c>
      <c r="C32" s="70">
        <v>669.89</v>
      </c>
      <c r="D32" s="1"/>
      <c r="E32" s="1"/>
      <c r="F32" s="36"/>
      <c r="G32" s="36"/>
    </row>
    <row r="33" spans="1:7" ht="15.75">
      <c r="A33" s="55">
        <v>28</v>
      </c>
      <c r="B33" s="56" t="s">
        <v>41</v>
      </c>
      <c r="C33" s="70">
        <v>4743.84</v>
      </c>
      <c r="D33" s="1"/>
      <c r="E33" s="1"/>
      <c r="F33" s="36"/>
      <c r="G33" s="36"/>
    </row>
    <row r="34" spans="1:7" ht="15.75">
      <c r="A34" s="55">
        <v>29</v>
      </c>
      <c r="B34" s="56" t="s">
        <v>42</v>
      </c>
      <c r="C34" s="70">
        <v>5335.31</v>
      </c>
      <c r="D34" s="1"/>
      <c r="E34" s="1"/>
      <c r="F34" s="36"/>
      <c r="G34" s="36"/>
    </row>
    <row r="35" spans="1:7" ht="15.75">
      <c r="A35" s="55">
        <v>30</v>
      </c>
      <c r="B35" s="56" t="s">
        <v>44</v>
      </c>
      <c r="C35" s="70">
        <v>1139.98</v>
      </c>
      <c r="D35" s="1"/>
      <c r="E35" s="1"/>
      <c r="F35" s="36"/>
      <c r="G35" s="36"/>
    </row>
    <row r="36" spans="1:7" ht="15.75">
      <c r="A36" s="55">
        <v>31</v>
      </c>
      <c r="B36" s="56" t="s">
        <v>45</v>
      </c>
      <c r="C36" s="70">
        <v>0</v>
      </c>
      <c r="D36" s="1"/>
      <c r="E36" s="1"/>
      <c r="F36" s="36"/>
      <c r="G36" s="36"/>
    </row>
    <row r="37" spans="1:7" ht="15.75">
      <c r="A37" s="55">
        <v>32</v>
      </c>
      <c r="B37" s="56" t="s">
        <v>47</v>
      </c>
      <c r="C37" s="70">
        <v>1834.42</v>
      </c>
      <c r="D37" s="1"/>
      <c r="E37" s="1"/>
      <c r="F37" s="36"/>
      <c r="G37" s="36"/>
    </row>
    <row r="38" spans="1:7" ht="15.75">
      <c r="A38" s="55">
        <v>33</v>
      </c>
      <c r="B38" s="56" t="s">
        <v>60</v>
      </c>
      <c r="C38" s="70">
        <v>68.98</v>
      </c>
      <c r="D38" s="1"/>
      <c r="E38" s="1"/>
      <c r="F38" s="36"/>
      <c r="G38" s="36"/>
    </row>
    <row r="39" spans="1:7" ht="15.75">
      <c r="A39" s="55">
        <v>34</v>
      </c>
      <c r="B39" s="56" t="s">
        <v>61</v>
      </c>
      <c r="C39" s="70">
        <v>1874.62</v>
      </c>
      <c r="D39" s="1"/>
      <c r="E39" s="1"/>
      <c r="F39" s="36"/>
      <c r="G39" s="36"/>
    </row>
    <row r="40" spans="1:7" ht="15.75">
      <c r="A40" s="57"/>
      <c r="B40" s="57" t="s">
        <v>31</v>
      </c>
      <c r="C40" s="7">
        <f>SUM(C6:C39)</f>
        <v>392882.94999999995</v>
      </c>
      <c r="D40" s="1"/>
      <c r="E40" s="1"/>
      <c r="F40" s="36"/>
      <c r="G40" s="36"/>
    </row>
    <row r="41" spans="1:7" ht="14.25">
      <c r="A41" s="36"/>
      <c r="B41" s="36"/>
      <c r="C41" s="38"/>
      <c r="D41" s="1"/>
      <c r="E41" s="1"/>
      <c r="F41" s="36"/>
      <c r="G41" s="36"/>
    </row>
    <row r="42" spans="1:7" ht="14.25">
      <c r="A42" s="36"/>
      <c r="B42" s="36"/>
      <c r="C42" s="38"/>
      <c r="D42" s="1"/>
      <c r="E42" s="36"/>
      <c r="F42" s="36"/>
      <c r="G42" s="36"/>
    </row>
    <row r="43" ht="12.75">
      <c r="C43" s="3"/>
    </row>
    <row r="44" spans="2:4" ht="12.75">
      <c r="B44" s="3"/>
      <c r="C44" s="3">
        <f>C40+INS!C41+MIXT!E40+TESTE!C40+TESTE!D40+'COST VOLUM ONCO'!C40+ONCO!C40+POSTT!C40+SCLEROZ!C40+MUCOV!C40+MUCOV!D40</f>
        <v>2022737.5699999998</v>
      </c>
      <c r="D44" s="5"/>
    </row>
    <row r="45" spans="3:4" ht="12.75">
      <c r="C45" s="3"/>
      <c r="D45" s="3"/>
    </row>
    <row r="46" spans="3:4" ht="12.75">
      <c r="C46" s="3"/>
      <c r="D46" s="3"/>
    </row>
    <row r="48" spans="3:4" ht="12.75">
      <c r="C48" s="3"/>
      <c r="D48" s="3"/>
    </row>
    <row r="49" ht="12.75">
      <c r="D49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41"/>
  <sheetViews>
    <sheetView workbookViewId="0" topLeftCell="A1">
      <selection activeCell="C41" sqref="C41"/>
    </sheetView>
  </sheetViews>
  <sheetFormatPr defaultColWidth="9.140625" defaultRowHeight="12.75"/>
  <cols>
    <col min="2" max="2" width="31.57421875" style="0" customWidth="1"/>
    <col min="3" max="3" width="13.7109375" style="0" customWidth="1"/>
  </cols>
  <sheetData>
    <row r="4" spans="1:8" ht="12.75" customHeight="1">
      <c r="A4" s="74" t="s">
        <v>74</v>
      </c>
      <c r="B4" s="74"/>
      <c r="C4" s="74"/>
      <c r="D4" s="74"/>
      <c r="E4" s="74"/>
      <c r="F4" s="74"/>
      <c r="G4" s="74"/>
      <c r="H4" s="74"/>
    </row>
    <row r="5" spans="1:8" ht="14.25">
      <c r="A5" s="36"/>
      <c r="B5" s="36"/>
      <c r="C5" s="36"/>
      <c r="D5" s="39"/>
      <c r="E5" s="36"/>
      <c r="F5" s="36"/>
      <c r="G5" s="36"/>
      <c r="H5" s="36"/>
    </row>
    <row r="6" spans="1:8" ht="30">
      <c r="A6" s="50" t="s">
        <v>0</v>
      </c>
      <c r="B6" s="51" t="s">
        <v>1</v>
      </c>
      <c r="C6" s="43" t="s">
        <v>65</v>
      </c>
      <c r="D6" s="39"/>
      <c r="E6" s="36"/>
      <c r="F6" s="36"/>
      <c r="G6" s="36"/>
      <c r="H6" s="36"/>
    </row>
    <row r="7" spans="1:8" ht="15.75">
      <c r="A7" s="55">
        <v>1</v>
      </c>
      <c r="B7" s="56" t="s">
        <v>6</v>
      </c>
      <c r="C7" s="6">
        <v>14742.04</v>
      </c>
      <c r="D7" s="36"/>
      <c r="E7" s="36"/>
      <c r="F7" s="36"/>
      <c r="G7" s="36"/>
      <c r="H7" s="36"/>
    </row>
    <row r="8" spans="1:8" ht="15.75">
      <c r="A8" s="55">
        <v>2</v>
      </c>
      <c r="B8" s="56" t="s">
        <v>7</v>
      </c>
      <c r="C8" s="6">
        <v>1297.22</v>
      </c>
      <c r="D8" s="36"/>
      <c r="E8" s="36"/>
      <c r="F8" s="36"/>
      <c r="G8" s="36"/>
      <c r="H8" s="36"/>
    </row>
    <row r="9" spans="1:3" ht="15.75">
      <c r="A9" s="55">
        <v>3</v>
      </c>
      <c r="B9" s="56" t="s">
        <v>8</v>
      </c>
      <c r="C9" s="67"/>
    </row>
    <row r="10" spans="1:3" ht="15.75">
      <c r="A10" s="55">
        <v>4</v>
      </c>
      <c r="B10" s="56" t="s">
        <v>9</v>
      </c>
      <c r="C10" s="67"/>
    </row>
    <row r="11" spans="1:3" ht="15.75">
      <c r="A11" s="55">
        <v>5</v>
      </c>
      <c r="B11" s="56" t="s">
        <v>10</v>
      </c>
      <c r="C11" s="67">
        <v>1998.64</v>
      </c>
    </row>
    <row r="12" spans="1:3" ht="15.75">
      <c r="A12" s="55">
        <v>6</v>
      </c>
      <c r="B12" s="56" t="s">
        <v>11</v>
      </c>
      <c r="C12" s="67">
        <v>6419.98</v>
      </c>
    </row>
    <row r="13" spans="1:3" ht="15.75">
      <c r="A13" s="55">
        <v>7</v>
      </c>
      <c r="B13" s="56" t="s">
        <v>59</v>
      </c>
      <c r="C13" s="67">
        <v>3589.73</v>
      </c>
    </row>
    <row r="14" spans="1:3" ht="15.75">
      <c r="A14" s="55">
        <v>8</v>
      </c>
      <c r="B14" s="56" t="s">
        <v>12</v>
      </c>
      <c r="C14" s="67">
        <v>12803.56</v>
      </c>
    </row>
    <row r="15" spans="1:3" ht="15.75">
      <c r="A15" s="55">
        <v>9</v>
      </c>
      <c r="B15" s="56" t="s">
        <v>13</v>
      </c>
      <c r="C15" s="67">
        <v>6967.67</v>
      </c>
    </row>
    <row r="16" spans="1:3" ht="15.75">
      <c r="A16" s="55">
        <v>10</v>
      </c>
      <c r="B16" s="56" t="s">
        <v>14</v>
      </c>
      <c r="C16" s="67">
        <v>10664.92</v>
      </c>
    </row>
    <row r="17" spans="1:3" ht="15.75">
      <c r="A17" s="55">
        <v>11</v>
      </c>
      <c r="B17" s="56" t="s">
        <v>15</v>
      </c>
      <c r="C17" s="67">
        <v>5166.05</v>
      </c>
    </row>
    <row r="18" spans="1:3" ht="15.75">
      <c r="A18" s="55">
        <v>12</v>
      </c>
      <c r="B18" s="56" t="s">
        <v>16</v>
      </c>
      <c r="C18" s="67">
        <v>2660.83</v>
      </c>
    </row>
    <row r="19" spans="1:3" ht="15.75">
      <c r="A19" s="55">
        <v>13</v>
      </c>
      <c r="B19" s="56" t="s">
        <v>17</v>
      </c>
      <c r="C19" s="67">
        <v>1419.46</v>
      </c>
    </row>
    <row r="20" spans="1:3" ht="15.75">
      <c r="A20" s="55">
        <v>14</v>
      </c>
      <c r="B20" s="56" t="s">
        <v>18</v>
      </c>
      <c r="C20" s="67"/>
    </row>
    <row r="21" spans="1:3" ht="15.75">
      <c r="A21" s="55">
        <v>15</v>
      </c>
      <c r="B21" s="56" t="s">
        <v>19</v>
      </c>
      <c r="C21" s="67"/>
    </row>
    <row r="22" spans="1:3" ht="15.75">
      <c r="A22" s="55">
        <v>16</v>
      </c>
      <c r="B22" s="56" t="s">
        <v>20</v>
      </c>
      <c r="C22" s="67"/>
    </row>
    <row r="23" spans="1:3" ht="15.75">
      <c r="A23" s="55">
        <v>17</v>
      </c>
      <c r="B23" s="56" t="s">
        <v>21</v>
      </c>
      <c r="C23" s="67">
        <v>4538.04</v>
      </c>
    </row>
    <row r="24" spans="1:3" ht="15.75">
      <c r="A24" s="55">
        <v>18</v>
      </c>
      <c r="B24" s="56" t="s">
        <v>22</v>
      </c>
      <c r="C24" s="67">
        <v>1347.23</v>
      </c>
    </row>
    <row r="25" spans="1:3" ht="15.75">
      <c r="A25" s="55">
        <v>19</v>
      </c>
      <c r="B25" s="56" t="s">
        <v>23</v>
      </c>
      <c r="C25" s="67"/>
    </row>
    <row r="26" spans="1:3" ht="15.75">
      <c r="A26" s="55">
        <v>20</v>
      </c>
      <c r="B26" s="56" t="s">
        <v>24</v>
      </c>
      <c r="C26" s="67"/>
    </row>
    <row r="27" spans="1:3" ht="15.75">
      <c r="A27" s="55">
        <v>21</v>
      </c>
      <c r="B27" s="56" t="s">
        <v>25</v>
      </c>
      <c r="C27" s="67">
        <v>5214.08</v>
      </c>
    </row>
    <row r="28" spans="1:3" ht="15.75">
      <c r="A28" s="55">
        <v>22</v>
      </c>
      <c r="B28" s="56" t="s">
        <v>26</v>
      </c>
      <c r="C28" s="67">
        <v>1082.79</v>
      </c>
    </row>
    <row r="29" spans="1:3" ht="15.75">
      <c r="A29" s="55">
        <v>23</v>
      </c>
      <c r="B29" s="56" t="s">
        <v>27</v>
      </c>
      <c r="C29" s="67">
        <v>3351.39</v>
      </c>
    </row>
    <row r="30" spans="1:3" ht="15.75">
      <c r="A30" s="55">
        <v>24</v>
      </c>
      <c r="B30" s="56" t="s">
        <v>28</v>
      </c>
      <c r="C30" s="67"/>
    </row>
    <row r="31" spans="1:3" ht="15.75">
      <c r="A31" s="55">
        <v>25</v>
      </c>
      <c r="B31" s="56" t="s">
        <v>29</v>
      </c>
      <c r="C31" s="67">
        <v>6933.92</v>
      </c>
    </row>
    <row r="32" spans="1:3" ht="15.75">
      <c r="A32" s="55">
        <v>26</v>
      </c>
      <c r="B32" s="56" t="s">
        <v>30</v>
      </c>
      <c r="C32" s="67"/>
    </row>
    <row r="33" spans="1:3" ht="15.75">
      <c r="A33" s="55">
        <v>27</v>
      </c>
      <c r="B33" s="56" t="s">
        <v>40</v>
      </c>
      <c r="C33" s="67"/>
    </row>
    <row r="34" spans="1:3" ht="15.75">
      <c r="A34" s="55">
        <v>28</v>
      </c>
      <c r="B34" s="56" t="s">
        <v>41</v>
      </c>
      <c r="C34" s="67">
        <v>2099</v>
      </c>
    </row>
    <row r="35" spans="1:3" ht="15.75">
      <c r="A35" s="55">
        <v>29</v>
      </c>
      <c r="B35" s="56" t="s">
        <v>42</v>
      </c>
      <c r="C35" s="67">
        <v>5266.66</v>
      </c>
    </row>
    <row r="36" spans="1:3" ht="15.75">
      <c r="A36" s="55">
        <v>30</v>
      </c>
      <c r="B36" s="56" t="s">
        <v>44</v>
      </c>
      <c r="C36" s="67"/>
    </row>
    <row r="37" spans="1:3" ht="15.75">
      <c r="A37" s="55">
        <v>31</v>
      </c>
      <c r="B37" s="56" t="s">
        <v>45</v>
      </c>
      <c r="C37" s="67"/>
    </row>
    <row r="38" spans="1:3" ht="15.75">
      <c r="A38" s="55">
        <v>32</v>
      </c>
      <c r="B38" s="56" t="s">
        <v>47</v>
      </c>
      <c r="C38" s="67"/>
    </row>
    <row r="39" spans="1:3" ht="15.75">
      <c r="A39" s="55">
        <v>33</v>
      </c>
      <c r="B39" s="56" t="s">
        <v>60</v>
      </c>
      <c r="C39" s="67"/>
    </row>
    <row r="40" spans="1:3" ht="15.75">
      <c r="A40" s="55">
        <v>34</v>
      </c>
      <c r="B40" s="56" t="s">
        <v>61</v>
      </c>
      <c r="C40" s="67"/>
    </row>
    <row r="41" spans="1:3" ht="15.75">
      <c r="A41" s="57"/>
      <c r="B41" s="57" t="s">
        <v>31</v>
      </c>
      <c r="C41" s="68">
        <f>SUM(C7:C40)</f>
        <v>97563.20999999999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2"/>
  <sheetViews>
    <sheetView workbookViewId="0" topLeftCell="A1">
      <selection activeCell="E9" sqref="E9"/>
    </sheetView>
  </sheetViews>
  <sheetFormatPr defaultColWidth="9.140625" defaultRowHeight="12.75"/>
  <cols>
    <col min="2" max="2" width="31.28125" style="0" customWidth="1"/>
    <col min="3" max="3" width="13.7109375" style="0" customWidth="1"/>
    <col min="4" max="4" width="13.140625" style="0" bestFit="1" customWidth="1"/>
    <col min="5" max="5" width="16.140625" style="0" bestFit="1" customWidth="1"/>
  </cols>
  <sheetData>
    <row r="3" spans="1:7" ht="12.75" customHeight="1">
      <c r="A3" s="74" t="s">
        <v>75</v>
      </c>
      <c r="B3" s="74"/>
      <c r="C3" s="74"/>
      <c r="D3" s="74"/>
      <c r="E3" s="74"/>
      <c r="F3" s="74"/>
      <c r="G3" s="74"/>
    </row>
    <row r="4" spans="1:7" ht="15">
      <c r="A4" s="75"/>
      <c r="B4" s="75"/>
      <c r="C4" s="41" t="s">
        <v>36</v>
      </c>
      <c r="D4" s="1"/>
      <c r="E4" s="36"/>
      <c r="F4" s="36"/>
      <c r="G4" s="36"/>
    </row>
    <row r="5" spans="1:7" ht="15.75">
      <c r="A5" s="50" t="s">
        <v>0</v>
      </c>
      <c r="B5" s="51" t="s">
        <v>1</v>
      </c>
      <c r="C5" s="42" t="s">
        <v>37</v>
      </c>
      <c r="D5" s="42" t="s">
        <v>38</v>
      </c>
      <c r="E5" s="43" t="s">
        <v>39</v>
      </c>
      <c r="F5" s="36"/>
      <c r="G5" s="36"/>
    </row>
    <row r="6" spans="1:7" ht="15.75">
      <c r="A6" s="55">
        <v>1</v>
      </c>
      <c r="B6" s="56" t="s">
        <v>6</v>
      </c>
      <c r="C6" s="6">
        <f>23489.41+128.07</f>
        <v>23617.48</v>
      </c>
      <c r="D6" s="6">
        <f>45626.44+2177.95</f>
        <v>47804.39</v>
      </c>
      <c r="E6" s="7">
        <f>C6+D6</f>
        <v>71421.87</v>
      </c>
      <c r="F6" s="36"/>
      <c r="G6" s="36"/>
    </row>
    <row r="7" spans="1:7" ht="15.75">
      <c r="A7" s="55">
        <v>2</v>
      </c>
      <c r="B7" s="56" t="s">
        <v>7</v>
      </c>
      <c r="C7" s="6">
        <f>4567.27+3115.44</f>
        <v>7682.710000000001</v>
      </c>
      <c r="D7" s="6">
        <f>7175.51+4033.75</f>
        <v>11209.26</v>
      </c>
      <c r="E7" s="7">
        <f aca="true" t="shared" si="0" ref="E7:E40">C7+D7</f>
        <v>18891.97</v>
      </c>
      <c r="F7" s="36"/>
      <c r="G7" s="36"/>
    </row>
    <row r="8" spans="1:7" ht="15.75">
      <c r="A8" s="55">
        <v>3</v>
      </c>
      <c r="B8" s="56" t="s">
        <v>8</v>
      </c>
      <c r="C8" s="6">
        <v>0</v>
      </c>
      <c r="D8" s="6">
        <v>0</v>
      </c>
      <c r="E8" s="7">
        <f t="shared" si="0"/>
        <v>0</v>
      </c>
      <c r="F8" s="36"/>
      <c r="G8" s="36"/>
    </row>
    <row r="9" spans="1:7" ht="15.75">
      <c r="A9" s="55">
        <v>4</v>
      </c>
      <c r="B9" s="56" t="s">
        <v>9</v>
      </c>
      <c r="C9" s="6">
        <v>0</v>
      </c>
      <c r="D9" s="6">
        <v>0</v>
      </c>
      <c r="E9" s="7">
        <f t="shared" si="0"/>
        <v>0</v>
      </c>
      <c r="F9" s="36"/>
      <c r="G9" s="36"/>
    </row>
    <row r="10" spans="1:7" ht="15.75">
      <c r="A10" s="55">
        <v>5</v>
      </c>
      <c r="B10" s="56" t="s">
        <v>10</v>
      </c>
      <c r="C10" s="6">
        <v>12865.68</v>
      </c>
      <c r="D10" s="6">
        <v>22606.1</v>
      </c>
      <c r="E10" s="7">
        <f t="shared" si="0"/>
        <v>35471.78</v>
      </c>
      <c r="F10" s="36"/>
      <c r="G10" s="36"/>
    </row>
    <row r="11" spans="1:7" ht="15.75">
      <c r="A11" s="55">
        <v>6</v>
      </c>
      <c r="B11" s="56" t="s">
        <v>11</v>
      </c>
      <c r="C11" s="6">
        <f>14462.98+6301.57+6985.01</f>
        <v>27749.559999999998</v>
      </c>
      <c r="D11" s="6">
        <f>32640.7+9743.15+19335.33</f>
        <v>61719.18</v>
      </c>
      <c r="E11" s="7">
        <f t="shared" si="0"/>
        <v>89468.73999999999</v>
      </c>
      <c r="F11" s="36"/>
      <c r="G11" s="36"/>
    </row>
    <row r="12" spans="1:7" ht="15.75">
      <c r="A12" s="55">
        <v>7</v>
      </c>
      <c r="B12" s="56" t="s">
        <v>59</v>
      </c>
      <c r="C12" s="6">
        <f>1399.95+3312.21+182.52+6243.64+1672.63+34.49</f>
        <v>12845.44</v>
      </c>
      <c r="D12" s="6">
        <f>3481.05+4320.5+924.4+9201.62+2144.18+183.86</f>
        <v>20255.61</v>
      </c>
      <c r="E12" s="7">
        <f t="shared" si="0"/>
        <v>33101.05</v>
      </c>
      <c r="F12" s="36"/>
      <c r="G12" s="36"/>
    </row>
    <row r="13" spans="1:7" ht="15.75">
      <c r="A13" s="55">
        <v>8</v>
      </c>
      <c r="B13" s="56" t="s">
        <v>12</v>
      </c>
      <c r="C13" s="6">
        <v>25021.06</v>
      </c>
      <c r="D13" s="6">
        <v>58750.32</v>
      </c>
      <c r="E13" s="7">
        <f t="shared" si="0"/>
        <v>83771.38</v>
      </c>
      <c r="F13" s="36"/>
      <c r="G13" s="36"/>
    </row>
    <row r="14" spans="1:7" ht="15.75">
      <c r="A14" s="55">
        <v>9</v>
      </c>
      <c r="B14" s="56" t="s">
        <v>13</v>
      </c>
      <c r="C14" s="6">
        <f>6352.89+294.87+583.11</f>
        <v>7230.87</v>
      </c>
      <c r="D14" s="6">
        <f>20995.44+413.69+2701.54</f>
        <v>24110.67</v>
      </c>
      <c r="E14" s="7">
        <f t="shared" si="0"/>
        <v>31341.539999999997</v>
      </c>
      <c r="F14" s="36"/>
      <c r="G14" s="36"/>
    </row>
    <row r="15" spans="1:7" ht="15.75">
      <c r="A15" s="55">
        <v>10</v>
      </c>
      <c r="B15" s="56" t="s">
        <v>14</v>
      </c>
      <c r="C15" s="6">
        <f>5128.25+517.05+10393.34</f>
        <v>16038.64</v>
      </c>
      <c r="D15" s="6">
        <f>4474.78+1299.55+13495.45</f>
        <v>19269.78</v>
      </c>
      <c r="E15" s="7">
        <f t="shared" si="0"/>
        <v>35308.42</v>
      </c>
      <c r="F15" s="36"/>
      <c r="G15" s="36"/>
    </row>
    <row r="16" spans="1:7" ht="15.75">
      <c r="A16" s="55">
        <v>11</v>
      </c>
      <c r="B16" s="56" t="s">
        <v>15</v>
      </c>
      <c r="C16" s="6">
        <v>5614.71</v>
      </c>
      <c r="D16" s="6">
        <v>14568.06</v>
      </c>
      <c r="E16" s="7">
        <f t="shared" si="0"/>
        <v>20182.77</v>
      </c>
      <c r="F16" s="36"/>
      <c r="G16" s="36"/>
    </row>
    <row r="17" spans="1:7" ht="15.75">
      <c r="A17" s="55">
        <v>12</v>
      </c>
      <c r="B17" s="56" t="s">
        <v>16</v>
      </c>
      <c r="C17" s="6">
        <v>2081.81</v>
      </c>
      <c r="D17" s="6">
        <v>1627.82</v>
      </c>
      <c r="E17" s="7">
        <f t="shared" si="0"/>
        <v>3709.63</v>
      </c>
      <c r="F17" s="36"/>
      <c r="G17" s="36"/>
    </row>
    <row r="18" spans="1:7" ht="15.75">
      <c r="A18" s="55">
        <v>13</v>
      </c>
      <c r="B18" s="56" t="s">
        <v>17</v>
      </c>
      <c r="C18" s="6">
        <v>8793.58</v>
      </c>
      <c r="D18" s="6">
        <v>19868.69</v>
      </c>
      <c r="E18" s="7">
        <f t="shared" si="0"/>
        <v>28662.269999999997</v>
      </c>
      <c r="F18" s="36"/>
      <c r="G18" s="36"/>
    </row>
    <row r="19" spans="1:7" ht="15.75">
      <c r="A19" s="55">
        <v>14</v>
      </c>
      <c r="B19" s="56" t="s">
        <v>18</v>
      </c>
      <c r="C19" s="6"/>
      <c r="D19" s="6"/>
      <c r="E19" s="7">
        <f t="shared" si="0"/>
        <v>0</v>
      </c>
      <c r="F19" s="36"/>
      <c r="G19" s="36"/>
    </row>
    <row r="20" spans="1:7" ht="15.75">
      <c r="A20" s="55">
        <v>15</v>
      </c>
      <c r="B20" s="56" t="s">
        <v>19</v>
      </c>
      <c r="C20" s="6"/>
      <c r="D20" s="6"/>
      <c r="E20" s="7">
        <f t="shared" si="0"/>
        <v>0</v>
      </c>
      <c r="F20" s="36"/>
      <c r="G20" s="36"/>
    </row>
    <row r="21" spans="1:7" ht="15.75">
      <c r="A21" s="55">
        <v>16</v>
      </c>
      <c r="B21" s="56" t="s">
        <v>20</v>
      </c>
      <c r="C21" s="6"/>
      <c r="D21" s="6"/>
      <c r="E21" s="7">
        <f t="shared" si="0"/>
        <v>0</v>
      </c>
      <c r="F21" s="36"/>
      <c r="G21" s="36"/>
    </row>
    <row r="22" spans="1:7" ht="15.75">
      <c r="A22" s="55">
        <v>17</v>
      </c>
      <c r="B22" s="56" t="s">
        <v>21</v>
      </c>
      <c r="C22" s="6">
        <v>2366.84</v>
      </c>
      <c r="D22" s="6">
        <v>7899.11</v>
      </c>
      <c r="E22" s="7">
        <f t="shared" si="0"/>
        <v>10265.95</v>
      </c>
      <c r="F22" s="36"/>
      <c r="G22" s="36"/>
    </row>
    <row r="23" spans="1:7" ht="15.75">
      <c r="A23" s="55">
        <v>18</v>
      </c>
      <c r="B23" s="56" t="s">
        <v>22</v>
      </c>
      <c r="C23" s="6">
        <f>5468.94+393.14+1732.3</f>
        <v>7594.38</v>
      </c>
      <c r="D23" s="6">
        <f>9615.56+2882.17+6125.64</f>
        <v>18623.37</v>
      </c>
      <c r="E23" s="7">
        <f t="shared" si="0"/>
        <v>26217.75</v>
      </c>
      <c r="F23" s="36"/>
      <c r="G23" s="36"/>
    </row>
    <row r="24" spans="1:7" ht="15.75">
      <c r="A24" s="55">
        <v>19</v>
      </c>
      <c r="B24" s="56" t="s">
        <v>23</v>
      </c>
      <c r="C24" s="6">
        <v>196.58</v>
      </c>
      <c r="D24" s="6">
        <v>959.47</v>
      </c>
      <c r="E24" s="7">
        <f t="shared" si="0"/>
        <v>1156.05</v>
      </c>
      <c r="F24" s="36"/>
      <c r="G24" s="36"/>
    </row>
    <row r="25" spans="1:7" ht="15.75">
      <c r="A25" s="55">
        <v>20</v>
      </c>
      <c r="B25" s="56" t="s">
        <v>24</v>
      </c>
      <c r="C25" s="6"/>
      <c r="D25" s="6"/>
      <c r="E25" s="7">
        <f t="shared" si="0"/>
        <v>0</v>
      </c>
      <c r="F25" s="36"/>
      <c r="G25" s="36"/>
    </row>
    <row r="26" spans="1:7" ht="15.75">
      <c r="A26" s="55">
        <v>21</v>
      </c>
      <c r="B26" s="56" t="s">
        <v>25</v>
      </c>
      <c r="C26" s="6">
        <f>14116.67+3089.2+954.67</f>
        <v>18160.539999999997</v>
      </c>
      <c r="D26" s="6">
        <f>18838.28+8959.85+2964.76</f>
        <v>30762.89</v>
      </c>
      <c r="E26" s="7">
        <f t="shared" si="0"/>
        <v>48923.42999999999</v>
      </c>
      <c r="F26" s="36"/>
      <c r="G26" s="36"/>
    </row>
    <row r="27" spans="1:7" ht="15.75">
      <c r="A27" s="55">
        <v>22</v>
      </c>
      <c r="B27" s="56" t="s">
        <v>26</v>
      </c>
      <c r="C27" s="6">
        <v>7477.69</v>
      </c>
      <c r="D27" s="6">
        <v>14482.49</v>
      </c>
      <c r="E27" s="7">
        <f t="shared" si="0"/>
        <v>21960.18</v>
      </c>
      <c r="F27" s="36"/>
      <c r="G27" s="36"/>
    </row>
    <row r="28" spans="1:7" ht="15.75">
      <c r="A28" s="55">
        <v>23</v>
      </c>
      <c r="B28" s="56" t="s">
        <v>27</v>
      </c>
      <c r="C28" s="6">
        <f>904.14+235.08</f>
        <v>1139.22</v>
      </c>
      <c r="D28" s="6">
        <f>3081.27+413.69</f>
        <v>3494.96</v>
      </c>
      <c r="E28" s="7">
        <f t="shared" si="0"/>
        <v>4634.18</v>
      </c>
      <c r="F28" s="36"/>
      <c r="G28" s="36"/>
    </row>
    <row r="29" spans="1:7" ht="15.75">
      <c r="A29" s="55">
        <v>24</v>
      </c>
      <c r="B29" s="56" t="s">
        <v>28</v>
      </c>
      <c r="C29" s="6"/>
      <c r="D29" s="6"/>
      <c r="E29" s="7">
        <f t="shared" si="0"/>
        <v>0</v>
      </c>
      <c r="F29" s="36"/>
      <c r="G29" s="36"/>
    </row>
    <row r="30" spans="1:7" ht="15.75">
      <c r="A30" s="55">
        <v>25</v>
      </c>
      <c r="B30" s="56" t="s">
        <v>29</v>
      </c>
      <c r="C30" s="6">
        <f>845.51+5325.02+1276.36</f>
        <v>7446.89</v>
      </c>
      <c r="D30" s="6">
        <f>4074.82+12428.75+5880.05</f>
        <v>22383.62</v>
      </c>
      <c r="E30" s="7">
        <f t="shared" si="0"/>
        <v>29830.51</v>
      </c>
      <c r="F30" s="36"/>
      <c r="G30" s="36"/>
    </row>
    <row r="31" spans="1:7" ht="15.75">
      <c r="A31" s="55">
        <v>26</v>
      </c>
      <c r="B31" s="56" t="s">
        <v>30</v>
      </c>
      <c r="C31" s="6"/>
      <c r="D31" s="6"/>
      <c r="E31" s="7">
        <f t="shared" si="0"/>
        <v>0</v>
      </c>
      <c r="F31" s="36"/>
      <c r="G31" s="36"/>
    </row>
    <row r="32" spans="1:7" ht="15.75">
      <c r="A32" s="55">
        <v>27</v>
      </c>
      <c r="B32" s="56" t="s">
        <v>40</v>
      </c>
      <c r="C32" s="6">
        <v>504.32</v>
      </c>
      <c r="D32" s="6">
        <v>1011.25</v>
      </c>
      <c r="E32" s="7">
        <f t="shared" si="0"/>
        <v>1515.57</v>
      </c>
      <c r="F32" s="36"/>
      <c r="G32" s="36"/>
    </row>
    <row r="33" spans="1:7" ht="15.75">
      <c r="A33" s="55">
        <v>28</v>
      </c>
      <c r="B33" s="56" t="s">
        <v>41</v>
      </c>
      <c r="C33" s="6">
        <f>1808.7+365.04+608.31+231.07</f>
        <v>3013.1200000000003</v>
      </c>
      <c r="D33" s="6">
        <f>8974.56+1615.45+2538.1+895.95</f>
        <v>14024.060000000001</v>
      </c>
      <c r="E33" s="7">
        <f t="shared" si="0"/>
        <v>17037.18</v>
      </c>
      <c r="F33" s="36"/>
      <c r="G33" s="36"/>
    </row>
    <row r="34" spans="1:7" ht="15.75">
      <c r="A34" s="55">
        <v>29</v>
      </c>
      <c r="B34" s="56" t="s">
        <v>42</v>
      </c>
      <c r="C34" s="6">
        <v>5648.29</v>
      </c>
      <c r="D34" s="6">
        <v>19244.21</v>
      </c>
      <c r="E34" s="7">
        <f t="shared" si="0"/>
        <v>24892.5</v>
      </c>
      <c r="F34" s="36"/>
      <c r="G34" s="36"/>
    </row>
    <row r="35" spans="1:7" ht="15.75">
      <c r="A35" s="55">
        <v>30</v>
      </c>
      <c r="B35" s="56" t="s">
        <v>44</v>
      </c>
      <c r="C35" s="6">
        <v>1103.77</v>
      </c>
      <c r="D35" s="6">
        <v>1009.51</v>
      </c>
      <c r="E35" s="7">
        <f t="shared" si="0"/>
        <v>2113.2799999999997</v>
      </c>
      <c r="F35" s="36"/>
      <c r="G35" s="36"/>
    </row>
    <row r="36" spans="1:7" ht="15.75">
      <c r="A36" s="55">
        <v>31</v>
      </c>
      <c r="B36" s="56" t="s">
        <v>45</v>
      </c>
      <c r="C36" s="6"/>
      <c r="D36" s="6"/>
      <c r="E36" s="7">
        <f t="shared" si="0"/>
        <v>0</v>
      </c>
      <c r="F36" s="36"/>
      <c r="G36" s="36"/>
    </row>
    <row r="37" spans="1:7" ht="15.75">
      <c r="A37" s="55">
        <v>32</v>
      </c>
      <c r="B37" s="56" t="s">
        <v>47</v>
      </c>
      <c r="C37" s="6"/>
      <c r="D37" s="6"/>
      <c r="E37" s="7">
        <f t="shared" si="0"/>
        <v>0</v>
      </c>
      <c r="F37" s="36"/>
      <c r="G37" s="36"/>
    </row>
    <row r="38" spans="1:7" ht="15.75">
      <c r="A38" s="55">
        <v>33</v>
      </c>
      <c r="B38" s="56" t="s">
        <v>60</v>
      </c>
      <c r="C38" s="6"/>
      <c r="D38" s="6"/>
      <c r="E38" s="7">
        <f t="shared" si="0"/>
        <v>0</v>
      </c>
      <c r="F38" s="36"/>
      <c r="G38" s="36"/>
    </row>
    <row r="39" spans="1:7" ht="15.75">
      <c r="A39" s="55">
        <v>34</v>
      </c>
      <c r="B39" s="56" t="s">
        <v>61</v>
      </c>
      <c r="C39" s="6"/>
      <c r="D39" s="6"/>
      <c r="E39" s="7">
        <f t="shared" si="0"/>
        <v>0</v>
      </c>
      <c r="F39" s="36"/>
      <c r="G39" s="36"/>
    </row>
    <row r="40" spans="1:7" ht="15.75">
      <c r="A40" s="57"/>
      <c r="B40" s="57" t="s">
        <v>31</v>
      </c>
      <c r="C40" s="6">
        <f>SUM(C6:C39)</f>
        <v>204193.18</v>
      </c>
      <c r="D40" s="6">
        <f>SUM(D6:D39)</f>
        <v>435684.81999999995</v>
      </c>
      <c r="E40" s="7">
        <f t="shared" si="0"/>
        <v>639878</v>
      </c>
      <c r="F40" s="36"/>
      <c r="G40" s="36"/>
    </row>
    <row r="41" spans="1:7" ht="14.25">
      <c r="A41" s="36"/>
      <c r="B41" s="36"/>
      <c r="C41" s="36"/>
      <c r="D41" s="36"/>
      <c r="E41" s="1"/>
      <c r="F41" s="36"/>
      <c r="G41" s="36"/>
    </row>
    <row r="42" spans="1:7" ht="14.25">
      <c r="A42" s="36"/>
      <c r="B42" s="36"/>
      <c r="C42" s="36"/>
      <c r="D42" s="36"/>
      <c r="E42" s="36"/>
      <c r="F42" s="36"/>
      <c r="G42" s="36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4">
      <selection activeCell="C40" sqref="C40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73" t="s">
        <v>76</v>
      </c>
      <c r="B3" s="73"/>
      <c r="C3" s="73"/>
      <c r="D3" s="73"/>
      <c r="E3" s="73"/>
      <c r="F3" s="73"/>
    </row>
    <row r="4" spans="1:6" ht="15">
      <c r="A4" s="76"/>
      <c r="B4" s="76"/>
      <c r="C4" s="76"/>
      <c r="D4" s="76"/>
      <c r="E4" s="76"/>
      <c r="F4" s="36"/>
    </row>
    <row r="5" spans="1:6" ht="31.5">
      <c r="A5" s="50" t="s">
        <v>0</v>
      </c>
      <c r="B5" s="51" t="s">
        <v>1</v>
      </c>
      <c r="C5" s="51" t="s">
        <v>63</v>
      </c>
      <c r="D5" s="51" t="s">
        <v>64</v>
      </c>
      <c r="E5" s="36"/>
      <c r="F5" s="36"/>
    </row>
    <row r="6" spans="1:4" ht="15.75">
      <c r="A6" s="55">
        <v>1</v>
      </c>
      <c r="B6" s="56" t="s">
        <v>6</v>
      </c>
      <c r="C6" s="67">
        <v>10200</v>
      </c>
      <c r="D6" s="67">
        <v>2520</v>
      </c>
    </row>
    <row r="7" spans="1:4" ht="15.75">
      <c r="A7" s="55">
        <v>2</v>
      </c>
      <c r="B7" s="56" t="s">
        <v>7</v>
      </c>
      <c r="C7" s="67">
        <v>2160</v>
      </c>
      <c r="D7" s="67"/>
    </row>
    <row r="8" spans="1:4" ht="15.75">
      <c r="A8" s="55">
        <v>3</v>
      </c>
      <c r="B8" s="56" t="s">
        <v>8</v>
      </c>
      <c r="C8" s="67"/>
      <c r="D8" s="67"/>
    </row>
    <row r="9" spans="1:4" ht="15.75">
      <c r="A9" s="55">
        <v>4</v>
      </c>
      <c r="B9" s="56" t="s">
        <v>9</v>
      </c>
      <c r="C9" s="67"/>
      <c r="D9" s="67"/>
    </row>
    <row r="10" spans="1:4" ht="15.75">
      <c r="A10" s="55">
        <v>5</v>
      </c>
      <c r="B10" s="56" t="s">
        <v>10</v>
      </c>
      <c r="C10" s="67">
        <v>3780</v>
      </c>
      <c r="D10" s="67"/>
    </row>
    <row r="11" spans="1:4" ht="15.75">
      <c r="A11" s="55">
        <v>6</v>
      </c>
      <c r="B11" s="56" t="s">
        <v>11</v>
      </c>
      <c r="C11" s="67">
        <v>11040</v>
      </c>
      <c r="D11" s="67">
        <v>960</v>
      </c>
    </row>
    <row r="12" spans="1:4" ht="15.75">
      <c r="A12" s="55">
        <v>7</v>
      </c>
      <c r="B12" s="56" t="s">
        <v>59</v>
      </c>
      <c r="C12" s="67">
        <v>4080</v>
      </c>
      <c r="D12" s="67">
        <v>480</v>
      </c>
    </row>
    <row r="13" spans="1:4" ht="15.75">
      <c r="A13" s="55">
        <v>8</v>
      </c>
      <c r="B13" s="56" t="s">
        <v>12</v>
      </c>
      <c r="C13" s="67">
        <v>10440</v>
      </c>
      <c r="D13" s="67">
        <v>2040</v>
      </c>
    </row>
    <row r="14" spans="1:4" ht="15.75">
      <c r="A14" s="55">
        <v>9</v>
      </c>
      <c r="B14" s="56" t="s">
        <v>13</v>
      </c>
      <c r="C14" s="67">
        <v>5376</v>
      </c>
      <c r="D14" s="67"/>
    </row>
    <row r="15" spans="1:4" ht="15.75">
      <c r="A15" s="55">
        <v>10</v>
      </c>
      <c r="B15" s="56" t="s">
        <v>14</v>
      </c>
      <c r="C15" s="67">
        <v>5640</v>
      </c>
      <c r="D15" s="67">
        <v>480</v>
      </c>
    </row>
    <row r="16" spans="1:4" ht="15.75">
      <c r="A16" s="55">
        <v>11</v>
      </c>
      <c r="B16" s="56" t="s">
        <v>15</v>
      </c>
      <c r="C16" s="67">
        <v>2580</v>
      </c>
      <c r="D16" s="67"/>
    </row>
    <row r="17" spans="1:4" ht="15.75">
      <c r="A17" s="55">
        <v>12</v>
      </c>
      <c r="B17" s="56" t="s">
        <v>16</v>
      </c>
      <c r="C17" s="67">
        <v>960</v>
      </c>
      <c r="D17" s="67"/>
    </row>
    <row r="18" spans="1:4" ht="15.75">
      <c r="A18" s="55">
        <v>13</v>
      </c>
      <c r="B18" s="56" t="s">
        <v>17</v>
      </c>
      <c r="C18" s="67">
        <v>4440</v>
      </c>
      <c r="D18" s="67"/>
    </row>
    <row r="19" spans="1:4" ht="15.75">
      <c r="A19" s="55">
        <v>14</v>
      </c>
      <c r="B19" s="56" t="s">
        <v>18</v>
      </c>
      <c r="C19" s="67"/>
      <c r="D19" s="67"/>
    </row>
    <row r="20" spans="1:4" ht="15.75">
      <c r="A20" s="55">
        <v>15</v>
      </c>
      <c r="B20" s="56" t="s">
        <v>19</v>
      </c>
      <c r="C20" s="67"/>
      <c r="D20" s="67"/>
    </row>
    <row r="21" spans="1:4" ht="15.75">
      <c r="A21" s="55">
        <v>16</v>
      </c>
      <c r="B21" s="56" t="s">
        <v>20</v>
      </c>
      <c r="C21" s="67"/>
      <c r="D21" s="67"/>
    </row>
    <row r="22" spans="1:4" ht="15.75">
      <c r="A22" s="55">
        <v>17</v>
      </c>
      <c r="B22" s="56" t="s">
        <v>21</v>
      </c>
      <c r="C22" s="67">
        <v>3360</v>
      </c>
      <c r="D22" s="67"/>
    </row>
    <row r="23" spans="1:4" ht="15.75">
      <c r="A23" s="55">
        <v>18</v>
      </c>
      <c r="B23" s="56" t="s">
        <v>22</v>
      </c>
      <c r="C23" s="67">
        <v>3360</v>
      </c>
      <c r="D23" s="67">
        <v>120</v>
      </c>
    </row>
    <row r="24" spans="1:4" ht="15.75">
      <c r="A24" s="55">
        <v>19</v>
      </c>
      <c r="B24" s="56" t="s">
        <v>23</v>
      </c>
      <c r="C24" s="67">
        <v>240</v>
      </c>
      <c r="D24" s="67"/>
    </row>
    <row r="25" spans="1:4" ht="15.75">
      <c r="A25" s="55">
        <v>20</v>
      </c>
      <c r="B25" s="56" t="s">
        <v>24</v>
      </c>
      <c r="C25" s="67"/>
      <c r="D25" s="67"/>
    </row>
    <row r="26" spans="1:4" ht="15.75">
      <c r="A26" s="55">
        <v>21</v>
      </c>
      <c r="B26" s="56" t="s">
        <v>25</v>
      </c>
      <c r="C26" s="67">
        <v>6720</v>
      </c>
      <c r="D26" s="67"/>
    </row>
    <row r="27" spans="1:4" ht="15.75">
      <c r="A27" s="55">
        <v>22</v>
      </c>
      <c r="B27" s="56" t="s">
        <v>26</v>
      </c>
      <c r="C27" s="67">
        <v>2748</v>
      </c>
      <c r="D27" s="67"/>
    </row>
    <row r="28" spans="1:4" ht="15.75">
      <c r="A28" s="55">
        <v>23</v>
      </c>
      <c r="B28" s="56" t="s">
        <v>27</v>
      </c>
      <c r="C28" s="67">
        <v>1320</v>
      </c>
      <c r="D28" s="67"/>
    </row>
    <row r="29" spans="1:4" ht="15.75">
      <c r="A29" s="55">
        <v>24</v>
      </c>
      <c r="B29" s="56" t="s">
        <v>28</v>
      </c>
      <c r="C29" s="67"/>
      <c r="D29" s="67"/>
    </row>
    <row r="30" spans="1:4" ht="15.75">
      <c r="A30" s="55">
        <v>25</v>
      </c>
      <c r="B30" s="56" t="s">
        <v>29</v>
      </c>
      <c r="C30" s="67">
        <v>5868</v>
      </c>
      <c r="D30" s="67"/>
    </row>
    <row r="31" spans="1:4" ht="15.75">
      <c r="A31" s="55">
        <v>26</v>
      </c>
      <c r="B31" s="56" t="s">
        <v>30</v>
      </c>
      <c r="C31" s="67"/>
      <c r="D31" s="67"/>
    </row>
    <row r="32" spans="1:4" ht="15.75">
      <c r="A32" s="55">
        <v>27</v>
      </c>
      <c r="B32" s="56" t="s">
        <v>40</v>
      </c>
      <c r="C32" s="67">
        <v>120</v>
      </c>
      <c r="D32" s="67"/>
    </row>
    <row r="33" spans="1:4" ht="15.75">
      <c r="A33" s="55">
        <v>28</v>
      </c>
      <c r="B33" s="56" t="s">
        <v>41</v>
      </c>
      <c r="C33" s="67">
        <v>2640</v>
      </c>
      <c r="D33" s="67"/>
    </row>
    <row r="34" spans="1:4" ht="15.75">
      <c r="A34" s="55">
        <v>29</v>
      </c>
      <c r="B34" s="56" t="s">
        <v>42</v>
      </c>
      <c r="C34" s="67">
        <v>3840</v>
      </c>
      <c r="D34" s="67">
        <v>480</v>
      </c>
    </row>
    <row r="35" spans="1:4" ht="15.75">
      <c r="A35" s="55">
        <v>30</v>
      </c>
      <c r="B35" s="56" t="s">
        <v>44</v>
      </c>
      <c r="C35" s="67">
        <v>240</v>
      </c>
      <c r="D35" s="67"/>
    </row>
    <row r="36" spans="1:4" ht="15.75">
      <c r="A36" s="55">
        <v>31</v>
      </c>
      <c r="B36" s="56" t="s">
        <v>45</v>
      </c>
      <c r="C36" s="67"/>
      <c r="D36" s="67"/>
    </row>
    <row r="37" spans="1:4" ht="15.75">
      <c r="A37" s="55">
        <v>32</v>
      </c>
      <c r="B37" s="56" t="s">
        <v>47</v>
      </c>
      <c r="C37" s="67"/>
      <c r="D37" s="67"/>
    </row>
    <row r="38" spans="1:4" ht="15.75">
      <c r="A38" s="55">
        <v>33</v>
      </c>
      <c r="B38" s="56" t="s">
        <v>60</v>
      </c>
      <c r="C38" s="67"/>
      <c r="D38" s="67"/>
    </row>
    <row r="39" spans="1:4" ht="15.75">
      <c r="A39" s="55">
        <v>34</v>
      </c>
      <c r="B39" s="56" t="s">
        <v>61</v>
      </c>
      <c r="C39" s="67"/>
      <c r="D39" s="67"/>
    </row>
    <row r="40" spans="1:4" ht="15.75">
      <c r="A40" s="57"/>
      <c r="B40" s="57" t="s">
        <v>31</v>
      </c>
      <c r="C40" s="68">
        <f>SUM(C6:C39)</f>
        <v>91152</v>
      </c>
      <c r="D40" s="68">
        <f>SUM(D6:D39)</f>
        <v>7080</v>
      </c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0"/>
  <sheetViews>
    <sheetView view="pageBreakPreview" zoomScale="60" workbookViewId="0" topLeftCell="A1">
      <selection activeCell="L13" sqref="L13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60"/>
      <c r="B2" s="60"/>
      <c r="C2" s="60"/>
      <c r="D2" s="60"/>
      <c r="E2" s="60"/>
    </row>
    <row r="3" spans="1:5" ht="15">
      <c r="A3" s="61" t="s">
        <v>77</v>
      </c>
      <c r="B3" s="61"/>
      <c r="C3" s="61"/>
      <c r="D3" s="61"/>
      <c r="E3" s="61"/>
    </row>
    <row r="4" spans="1:5" ht="14.25">
      <c r="A4" s="36"/>
      <c r="B4" s="36"/>
      <c r="C4" s="36"/>
      <c r="D4" s="36"/>
      <c r="E4" s="36"/>
    </row>
    <row r="5" spans="1:5" ht="47.25">
      <c r="A5" s="50" t="s">
        <v>0</v>
      </c>
      <c r="B5" s="51" t="s">
        <v>1</v>
      </c>
      <c r="C5" s="51" t="s">
        <v>66</v>
      </c>
      <c r="D5" s="36"/>
      <c r="E5" s="36"/>
    </row>
    <row r="6" spans="1:3" ht="15.75">
      <c r="A6" s="55">
        <v>1</v>
      </c>
      <c r="B6" s="56" t="s">
        <v>6</v>
      </c>
      <c r="C6" s="67">
        <v>21672.18</v>
      </c>
    </row>
    <row r="7" spans="1:3" ht="15.75">
      <c r="A7" s="55">
        <v>2</v>
      </c>
      <c r="B7" s="56" t="s">
        <v>7</v>
      </c>
      <c r="C7" s="67"/>
    </row>
    <row r="8" spans="1:3" ht="15.75">
      <c r="A8" s="55">
        <v>3</v>
      </c>
      <c r="B8" s="56" t="s">
        <v>8</v>
      </c>
      <c r="C8" s="67"/>
    </row>
    <row r="9" spans="1:3" ht="15.75">
      <c r="A9" s="55">
        <v>4</v>
      </c>
      <c r="B9" s="56" t="s">
        <v>9</v>
      </c>
      <c r="C9" s="67"/>
    </row>
    <row r="10" spans="1:3" ht="15.75">
      <c r="A10" s="55">
        <v>5</v>
      </c>
      <c r="B10" s="56" t="s">
        <v>10</v>
      </c>
      <c r="C10" s="67"/>
    </row>
    <row r="11" spans="1:3" ht="15.75">
      <c r="A11" s="55">
        <v>6</v>
      </c>
      <c r="B11" s="56" t="s">
        <v>11</v>
      </c>
      <c r="C11" s="67"/>
    </row>
    <row r="12" spans="1:3" ht="15.75">
      <c r="A12" s="55">
        <v>7</v>
      </c>
      <c r="B12" s="56" t="s">
        <v>59</v>
      </c>
      <c r="C12" s="67">
        <v>65461.96</v>
      </c>
    </row>
    <row r="13" spans="1:3" ht="15.75">
      <c r="A13" s="55">
        <v>8</v>
      </c>
      <c r="B13" s="56" t="s">
        <v>12</v>
      </c>
      <c r="C13" s="67">
        <v>79552.12</v>
      </c>
    </row>
    <row r="14" spans="1:3" ht="15.75">
      <c r="A14" s="55">
        <v>9</v>
      </c>
      <c r="B14" s="56" t="s">
        <v>13</v>
      </c>
      <c r="C14" s="67">
        <v>26852.66</v>
      </c>
    </row>
    <row r="15" spans="1:3" ht="15.75">
      <c r="A15" s="55">
        <v>10</v>
      </c>
      <c r="B15" s="56" t="s">
        <v>14</v>
      </c>
      <c r="C15" s="67"/>
    </row>
    <row r="16" spans="1:3" ht="15.75">
      <c r="A16" s="55">
        <v>11</v>
      </c>
      <c r="B16" s="56" t="s">
        <v>15</v>
      </c>
      <c r="C16" s="67"/>
    </row>
    <row r="17" spans="1:3" ht="15.75">
      <c r="A17" s="55">
        <v>12</v>
      </c>
      <c r="B17" s="56" t="s">
        <v>16</v>
      </c>
      <c r="C17" s="67"/>
    </row>
    <row r="18" spans="1:3" ht="15.75">
      <c r="A18" s="55">
        <v>13</v>
      </c>
      <c r="B18" s="56" t="s">
        <v>17</v>
      </c>
      <c r="C18" s="67"/>
    </row>
    <row r="19" spans="1:3" ht="15.75">
      <c r="A19" s="55">
        <v>14</v>
      </c>
      <c r="B19" s="56" t="s">
        <v>18</v>
      </c>
      <c r="C19" s="67"/>
    </row>
    <row r="20" spans="1:3" ht="15.75">
      <c r="A20" s="55">
        <v>15</v>
      </c>
      <c r="B20" s="56" t="s">
        <v>19</v>
      </c>
      <c r="C20" s="67"/>
    </row>
    <row r="21" spans="1:3" ht="15.75">
      <c r="A21" s="55">
        <v>16</v>
      </c>
      <c r="B21" s="56" t="s">
        <v>20</v>
      </c>
      <c r="C21" s="67"/>
    </row>
    <row r="22" spans="1:3" ht="15.75">
      <c r="A22" s="55">
        <v>17</v>
      </c>
      <c r="B22" s="56" t="s">
        <v>21</v>
      </c>
      <c r="C22" s="67"/>
    </row>
    <row r="23" spans="1:3" ht="15.75">
      <c r="A23" s="55">
        <v>18</v>
      </c>
      <c r="B23" s="56" t="s">
        <v>22</v>
      </c>
      <c r="C23" s="67">
        <v>26852.66</v>
      </c>
    </row>
    <row r="24" spans="1:3" ht="15.75">
      <c r="A24" s="55">
        <v>19</v>
      </c>
      <c r="B24" s="56" t="s">
        <v>23</v>
      </c>
      <c r="C24" s="67"/>
    </row>
    <row r="25" spans="1:3" ht="15.75">
      <c r="A25" s="55">
        <v>20</v>
      </c>
      <c r="B25" s="56" t="s">
        <v>24</v>
      </c>
      <c r="C25" s="67"/>
    </row>
    <row r="26" spans="1:3" ht="15.75">
      <c r="A26" s="55">
        <v>21</v>
      </c>
      <c r="B26" s="56" t="s">
        <v>25</v>
      </c>
      <c r="C26" s="67"/>
    </row>
    <row r="27" spans="1:3" ht="15.75">
      <c r="A27" s="55">
        <v>22</v>
      </c>
      <c r="B27" s="56" t="s">
        <v>26</v>
      </c>
      <c r="C27" s="67">
        <v>28279.57</v>
      </c>
    </row>
    <row r="28" spans="1:3" ht="15.75">
      <c r="A28" s="55">
        <v>23</v>
      </c>
      <c r="B28" s="56" t="s">
        <v>27</v>
      </c>
      <c r="C28" s="67"/>
    </row>
    <row r="29" spans="1:3" ht="15.75">
      <c r="A29" s="55">
        <v>24</v>
      </c>
      <c r="B29" s="56" t="s">
        <v>28</v>
      </c>
      <c r="C29" s="67"/>
    </row>
    <row r="30" spans="1:3" ht="15.75">
      <c r="A30" s="55">
        <v>25</v>
      </c>
      <c r="B30" s="56" t="s">
        <v>29</v>
      </c>
      <c r="C30" s="67"/>
    </row>
    <row r="31" spans="1:3" ht="15.75">
      <c r="A31" s="55">
        <v>26</v>
      </c>
      <c r="B31" s="56" t="s">
        <v>30</v>
      </c>
      <c r="C31" s="67"/>
    </row>
    <row r="32" spans="1:3" ht="15.75">
      <c r="A32" s="55">
        <v>27</v>
      </c>
      <c r="B32" s="56" t="s">
        <v>40</v>
      </c>
      <c r="C32" s="67"/>
    </row>
    <row r="33" spans="1:3" ht="15.75">
      <c r="A33" s="55">
        <v>28</v>
      </c>
      <c r="B33" s="56" t="s">
        <v>41</v>
      </c>
      <c r="C33" s="67">
        <v>13426.33</v>
      </c>
    </row>
    <row r="34" spans="1:3" ht="15.75">
      <c r="A34" s="55">
        <v>29</v>
      </c>
      <c r="B34" s="56" t="s">
        <v>42</v>
      </c>
      <c r="C34" s="67"/>
    </row>
    <row r="35" spans="1:3" ht="15.75">
      <c r="A35" s="55">
        <v>30</v>
      </c>
      <c r="B35" s="56" t="s">
        <v>44</v>
      </c>
      <c r="C35" s="67"/>
    </row>
    <row r="36" spans="1:3" ht="15.75">
      <c r="A36" s="55">
        <v>31</v>
      </c>
      <c r="B36" s="56" t="s">
        <v>45</v>
      </c>
      <c r="C36" s="67"/>
    </row>
    <row r="37" spans="1:3" ht="15.75">
      <c r="A37" s="55">
        <v>32</v>
      </c>
      <c r="B37" s="56" t="s">
        <v>47</v>
      </c>
      <c r="C37" s="67"/>
    </row>
    <row r="38" spans="1:3" ht="15.75">
      <c r="A38" s="55">
        <v>33</v>
      </c>
      <c r="B38" s="56" t="s">
        <v>60</v>
      </c>
      <c r="C38" s="67"/>
    </row>
    <row r="39" spans="1:3" ht="15.75">
      <c r="A39" s="55">
        <v>34</v>
      </c>
      <c r="B39" s="56" t="s">
        <v>61</v>
      </c>
      <c r="C39" s="67"/>
    </row>
    <row r="40" spans="1:3" ht="15.75">
      <c r="A40" s="57"/>
      <c r="B40" s="57" t="s">
        <v>31</v>
      </c>
      <c r="C40" s="68">
        <f>SUM(C6:C39)</f>
        <v>262097.48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40"/>
  <sheetViews>
    <sheetView workbookViewId="0" topLeftCell="A1">
      <selection activeCell="C40" sqref="C40"/>
    </sheetView>
  </sheetViews>
  <sheetFormatPr defaultColWidth="9.140625" defaultRowHeight="12.75"/>
  <cols>
    <col min="2" max="2" width="28.8515625" style="0" customWidth="1"/>
    <col min="3" max="3" width="16.28125" style="0" customWidth="1"/>
    <col min="5" max="5" width="29.00390625" style="0" customWidth="1"/>
  </cols>
  <sheetData>
    <row r="3" spans="1:5" ht="15">
      <c r="A3" s="77" t="s">
        <v>78</v>
      </c>
      <c r="B3" s="77"/>
      <c r="C3" s="77"/>
      <c r="D3" s="77"/>
      <c r="E3" s="77"/>
    </row>
    <row r="4" spans="1:5" ht="14.25">
      <c r="A4" s="36"/>
      <c r="B4" s="36"/>
      <c r="C4" s="38"/>
      <c r="D4" s="1"/>
      <c r="E4" s="1"/>
    </row>
    <row r="5" spans="1:5" ht="15.75">
      <c r="A5" s="50" t="s">
        <v>0</v>
      </c>
      <c r="B5" s="51" t="s">
        <v>1</v>
      </c>
      <c r="C5" s="51" t="s">
        <v>69</v>
      </c>
      <c r="D5" s="36"/>
      <c r="E5" s="36"/>
    </row>
    <row r="6" spans="1:5" ht="15.75">
      <c r="A6" s="55">
        <v>1</v>
      </c>
      <c r="B6" s="56" t="s">
        <v>6</v>
      </c>
      <c r="C6" s="6">
        <v>85420.73</v>
      </c>
      <c r="D6" s="36"/>
      <c r="E6" s="36"/>
    </row>
    <row r="7" spans="1:5" ht="15.75">
      <c r="A7" s="55">
        <v>2</v>
      </c>
      <c r="B7" s="56" t="s">
        <v>7</v>
      </c>
      <c r="C7" s="6"/>
      <c r="D7" s="36"/>
      <c r="E7" s="36"/>
    </row>
    <row r="8" spans="1:3" ht="15.75">
      <c r="A8" s="55">
        <v>3</v>
      </c>
      <c r="B8" s="56" t="s">
        <v>8</v>
      </c>
      <c r="C8" s="67">
        <v>87.14</v>
      </c>
    </row>
    <row r="9" spans="1:3" ht="15.75">
      <c r="A9" s="55">
        <v>4</v>
      </c>
      <c r="B9" s="56" t="s">
        <v>9</v>
      </c>
      <c r="C9" s="67">
        <v>942.27</v>
      </c>
    </row>
    <row r="10" spans="1:3" ht="15.75">
      <c r="A10" s="55">
        <v>5</v>
      </c>
      <c r="B10" s="56" t="s">
        <v>10</v>
      </c>
      <c r="C10" s="67">
        <v>1476.16</v>
      </c>
    </row>
    <row r="11" spans="1:3" ht="15.75">
      <c r="A11" s="55">
        <v>6</v>
      </c>
      <c r="B11" s="56" t="s">
        <v>11</v>
      </c>
      <c r="C11" s="67">
        <v>2571.74</v>
      </c>
    </row>
    <row r="12" spans="1:3" ht="15.75">
      <c r="A12" s="55">
        <v>7</v>
      </c>
      <c r="B12" s="56" t="s">
        <v>59</v>
      </c>
      <c r="C12" s="67">
        <v>1884.75</v>
      </c>
    </row>
    <row r="13" spans="1:3" ht="15.75">
      <c r="A13" s="55">
        <v>8</v>
      </c>
      <c r="B13" s="56" t="s">
        <v>12</v>
      </c>
      <c r="C13" s="67">
        <v>98761.72</v>
      </c>
    </row>
    <row r="14" spans="1:3" ht="15.75">
      <c r="A14" s="55">
        <v>9</v>
      </c>
      <c r="B14" s="56" t="s">
        <v>13</v>
      </c>
      <c r="C14" s="67">
        <v>118.32</v>
      </c>
    </row>
    <row r="15" spans="1:3" ht="15.75">
      <c r="A15" s="55">
        <v>10</v>
      </c>
      <c r="B15" s="56" t="s">
        <v>14</v>
      </c>
      <c r="C15" s="67">
        <v>18454.54</v>
      </c>
    </row>
    <row r="16" spans="1:3" ht="15.75">
      <c r="A16" s="55">
        <v>11</v>
      </c>
      <c r="B16" s="56" t="s">
        <v>15</v>
      </c>
      <c r="C16" s="67">
        <v>435.73</v>
      </c>
    </row>
    <row r="17" spans="1:3" ht="15.75">
      <c r="A17" s="55">
        <v>12</v>
      </c>
      <c r="B17" s="56" t="s">
        <v>16</v>
      </c>
      <c r="C17" s="67"/>
    </row>
    <row r="18" spans="1:3" ht="15.75">
      <c r="A18" s="55">
        <v>13</v>
      </c>
      <c r="B18" s="56" t="s">
        <v>17</v>
      </c>
      <c r="C18" s="67">
        <v>942.27</v>
      </c>
    </row>
    <row r="19" spans="1:3" ht="15.75">
      <c r="A19" s="55">
        <v>14</v>
      </c>
      <c r="B19" s="56" t="s">
        <v>18</v>
      </c>
      <c r="C19" s="67"/>
    </row>
    <row r="20" spans="1:3" ht="15.75">
      <c r="A20" s="55">
        <v>15</v>
      </c>
      <c r="B20" s="56" t="s">
        <v>19</v>
      </c>
      <c r="C20" s="67"/>
    </row>
    <row r="21" spans="1:3" ht="15.75">
      <c r="A21" s="55">
        <v>16</v>
      </c>
      <c r="B21" s="56" t="s">
        <v>20</v>
      </c>
      <c r="C21" s="67"/>
    </row>
    <row r="22" spans="1:3" ht="15.75">
      <c r="A22" s="55">
        <v>17</v>
      </c>
      <c r="B22" s="56" t="s">
        <v>21</v>
      </c>
      <c r="C22" s="67">
        <v>312.12</v>
      </c>
    </row>
    <row r="23" spans="1:3" ht="15.75">
      <c r="A23" s="55">
        <v>18</v>
      </c>
      <c r="B23" s="56" t="s">
        <v>22</v>
      </c>
      <c r="C23" s="67">
        <v>6531.17</v>
      </c>
    </row>
    <row r="24" spans="1:3" ht="15.75">
      <c r="A24" s="55">
        <v>19</v>
      </c>
      <c r="B24" s="56" t="s">
        <v>23</v>
      </c>
      <c r="C24" s="67"/>
    </row>
    <row r="25" spans="1:3" ht="15.75">
      <c r="A25" s="55">
        <v>20</v>
      </c>
      <c r="B25" s="56" t="s">
        <v>24</v>
      </c>
      <c r="C25" s="67"/>
    </row>
    <row r="26" spans="1:3" ht="15.75">
      <c r="A26" s="55">
        <v>21</v>
      </c>
      <c r="B26" s="56" t="s">
        <v>25</v>
      </c>
      <c r="C26" s="67">
        <v>214605.16</v>
      </c>
    </row>
    <row r="27" spans="1:3" ht="15.75">
      <c r="A27" s="55">
        <v>22</v>
      </c>
      <c r="B27" s="56" t="s">
        <v>26</v>
      </c>
      <c r="C27" s="67">
        <v>410.48</v>
      </c>
    </row>
    <row r="28" spans="1:3" ht="15.75">
      <c r="A28" s="55">
        <v>23</v>
      </c>
      <c r="B28" s="56" t="s">
        <v>27</v>
      </c>
      <c r="C28" s="67"/>
    </row>
    <row r="29" spans="1:3" ht="15.75">
      <c r="A29" s="55">
        <v>24</v>
      </c>
      <c r="B29" s="56" t="s">
        <v>28</v>
      </c>
      <c r="C29" s="67"/>
    </row>
    <row r="30" spans="1:3" ht="15.75">
      <c r="A30" s="55">
        <v>25</v>
      </c>
      <c r="B30" s="56" t="s">
        <v>29</v>
      </c>
      <c r="C30" s="67">
        <v>15427.8</v>
      </c>
    </row>
    <row r="31" spans="1:3" ht="15.75">
      <c r="A31" s="55">
        <v>26</v>
      </c>
      <c r="B31" s="56" t="s">
        <v>30</v>
      </c>
      <c r="C31" s="67">
        <v>14324.24</v>
      </c>
    </row>
    <row r="32" spans="1:3" ht="15.75">
      <c r="A32" s="55">
        <v>27</v>
      </c>
      <c r="B32" s="56" t="s">
        <v>40</v>
      </c>
      <c r="C32" s="67"/>
    </row>
    <row r="33" spans="1:3" ht="15.75">
      <c r="A33" s="55">
        <v>28</v>
      </c>
      <c r="B33" s="56" t="s">
        <v>41</v>
      </c>
      <c r="C33" s="67"/>
    </row>
    <row r="34" spans="1:3" ht="15.75">
      <c r="A34" s="55">
        <v>29</v>
      </c>
      <c r="B34" s="56" t="s">
        <v>42</v>
      </c>
      <c r="C34" s="67">
        <v>603.74</v>
      </c>
    </row>
    <row r="35" spans="1:3" ht="15.75">
      <c r="A35" s="55">
        <v>30</v>
      </c>
      <c r="B35" s="56" t="s">
        <v>44</v>
      </c>
      <c r="C35" s="67"/>
    </row>
    <row r="36" spans="1:3" ht="15.75">
      <c r="A36" s="55">
        <v>31</v>
      </c>
      <c r="B36" s="56" t="s">
        <v>45</v>
      </c>
      <c r="C36" s="67"/>
    </row>
    <row r="37" spans="1:3" ht="15.75">
      <c r="A37" s="55">
        <v>32</v>
      </c>
      <c r="B37" s="56" t="s">
        <v>47</v>
      </c>
      <c r="C37" s="67">
        <v>294.73</v>
      </c>
    </row>
    <row r="38" spans="1:3" ht="15.75">
      <c r="A38" s="55">
        <v>33</v>
      </c>
      <c r="B38" s="56" t="s">
        <v>60</v>
      </c>
      <c r="C38" s="67"/>
    </row>
    <row r="39" spans="1:3" ht="15.75">
      <c r="A39" s="55">
        <v>34</v>
      </c>
      <c r="B39" s="56" t="s">
        <v>61</v>
      </c>
      <c r="C39" s="67">
        <v>54.46</v>
      </c>
    </row>
    <row r="40" spans="1:3" ht="15.75">
      <c r="A40" s="57"/>
      <c r="B40" s="57" t="s">
        <v>31</v>
      </c>
      <c r="C40" s="68">
        <f>SUM(C6:C39)</f>
        <v>463659.27</v>
      </c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40"/>
  <sheetViews>
    <sheetView workbookViewId="0" topLeftCell="A1">
      <selection activeCell="C31" sqref="C31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73" t="s">
        <v>79</v>
      </c>
      <c r="B3" s="73"/>
      <c r="C3" s="73"/>
      <c r="D3" s="73"/>
      <c r="E3" s="73"/>
      <c r="F3" s="73"/>
      <c r="G3" s="73"/>
    </row>
    <row r="4" spans="1:7" ht="14.25">
      <c r="A4" s="75"/>
      <c r="B4" s="75"/>
      <c r="C4" s="75"/>
      <c r="D4" s="36"/>
      <c r="E4" s="36"/>
      <c r="F4" s="36"/>
      <c r="G4" s="36"/>
    </row>
    <row r="5" spans="1:7" ht="15.75">
      <c r="A5" s="50" t="s">
        <v>0</v>
      </c>
      <c r="B5" s="51" t="s">
        <v>1</v>
      </c>
      <c r="C5" s="50" t="s">
        <v>62</v>
      </c>
      <c r="D5" s="36"/>
      <c r="E5" s="36"/>
      <c r="F5" s="36"/>
      <c r="G5" s="36"/>
    </row>
    <row r="6" spans="1:7" ht="15.75">
      <c r="A6" s="55">
        <v>1</v>
      </c>
      <c r="B6" s="56" t="s">
        <v>6</v>
      </c>
      <c r="C6" s="6"/>
      <c r="D6" s="36"/>
      <c r="E6" s="36"/>
      <c r="F6" s="36"/>
      <c r="G6" s="36"/>
    </row>
    <row r="7" spans="1:7" ht="15.75">
      <c r="A7" s="55">
        <v>2</v>
      </c>
      <c r="B7" s="56" t="s">
        <v>7</v>
      </c>
      <c r="C7" s="6"/>
      <c r="D7" s="36"/>
      <c r="E7" s="36"/>
      <c r="F7" s="36"/>
      <c r="G7" s="36"/>
    </row>
    <row r="8" spans="1:3" ht="15.75">
      <c r="A8" s="55">
        <v>3</v>
      </c>
      <c r="B8" s="56" t="s">
        <v>8</v>
      </c>
      <c r="C8" s="67"/>
    </row>
    <row r="9" spans="1:3" ht="15.75">
      <c r="A9" s="55">
        <v>4</v>
      </c>
      <c r="B9" s="56" t="s">
        <v>9</v>
      </c>
      <c r="C9" s="67"/>
    </row>
    <row r="10" spans="1:3" ht="15.75">
      <c r="A10" s="55">
        <v>5</v>
      </c>
      <c r="B10" s="56" t="s">
        <v>10</v>
      </c>
      <c r="C10" s="67"/>
    </row>
    <row r="11" spans="1:3" ht="15.75">
      <c r="A11" s="55">
        <v>6</v>
      </c>
      <c r="B11" s="56" t="s">
        <v>11</v>
      </c>
      <c r="C11" s="67"/>
    </row>
    <row r="12" spans="1:3" ht="15.75">
      <c r="A12" s="55">
        <v>7</v>
      </c>
      <c r="B12" s="56" t="s">
        <v>59</v>
      </c>
      <c r="C12" s="67"/>
    </row>
    <row r="13" spans="1:3" ht="15.75">
      <c r="A13" s="55">
        <v>8</v>
      </c>
      <c r="B13" s="56" t="s">
        <v>12</v>
      </c>
      <c r="C13" s="67">
        <v>23976.3</v>
      </c>
    </row>
    <row r="14" spans="1:3" ht="15.75">
      <c r="A14" s="55">
        <v>9</v>
      </c>
      <c r="B14" s="56" t="s">
        <v>13</v>
      </c>
      <c r="C14" s="67"/>
    </row>
    <row r="15" spans="1:3" ht="15.75">
      <c r="A15" s="55">
        <v>10</v>
      </c>
      <c r="B15" s="56" t="s">
        <v>14</v>
      </c>
      <c r="C15" s="67"/>
    </row>
    <row r="16" spans="1:3" ht="15.75">
      <c r="A16" s="55">
        <v>11</v>
      </c>
      <c r="B16" s="56" t="s">
        <v>15</v>
      </c>
      <c r="C16" s="67"/>
    </row>
    <row r="17" spans="1:3" ht="15.75">
      <c r="A17" s="55">
        <v>12</v>
      </c>
      <c r="B17" s="56" t="s">
        <v>16</v>
      </c>
      <c r="C17" s="67"/>
    </row>
    <row r="18" spans="1:3" ht="15.75">
      <c r="A18" s="55">
        <v>13</v>
      </c>
      <c r="B18" s="56" t="s">
        <v>17</v>
      </c>
      <c r="C18" s="67"/>
    </row>
    <row r="19" spans="1:3" ht="15.75">
      <c r="A19" s="55">
        <v>14</v>
      </c>
      <c r="B19" s="56" t="s">
        <v>18</v>
      </c>
      <c r="C19" s="67"/>
    </row>
    <row r="20" spans="1:3" ht="15.75">
      <c r="A20" s="55">
        <v>15</v>
      </c>
      <c r="B20" s="56" t="s">
        <v>19</v>
      </c>
      <c r="C20" s="67"/>
    </row>
    <row r="21" spans="1:3" ht="15.75">
      <c r="A21" s="55">
        <v>16</v>
      </c>
      <c r="B21" s="56" t="s">
        <v>20</v>
      </c>
      <c r="C21" s="67"/>
    </row>
    <row r="22" spans="1:3" ht="15.75">
      <c r="A22" s="55">
        <v>17</v>
      </c>
      <c r="B22" s="56" t="s">
        <v>21</v>
      </c>
      <c r="C22" s="67"/>
    </row>
    <row r="23" spans="1:3" ht="15.75">
      <c r="A23" s="55">
        <v>18</v>
      </c>
      <c r="B23" s="56" t="s">
        <v>22</v>
      </c>
      <c r="C23" s="67"/>
    </row>
    <row r="24" spans="1:3" ht="15.75">
      <c r="A24" s="55">
        <v>19</v>
      </c>
      <c r="B24" s="56" t="s">
        <v>23</v>
      </c>
      <c r="C24" s="67"/>
    </row>
    <row r="25" spans="1:3" ht="15.75">
      <c r="A25" s="55">
        <v>20</v>
      </c>
      <c r="B25" s="56" t="s">
        <v>24</v>
      </c>
      <c r="C25" s="67"/>
    </row>
    <row r="26" spans="1:3" ht="15.75">
      <c r="A26" s="55">
        <v>21</v>
      </c>
      <c r="B26" s="56" t="s">
        <v>25</v>
      </c>
      <c r="C26" s="67"/>
    </row>
    <row r="27" spans="1:3" ht="15.75">
      <c r="A27" s="55">
        <v>22</v>
      </c>
      <c r="B27" s="56" t="s">
        <v>26</v>
      </c>
      <c r="C27" s="67"/>
    </row>
    <row r="28" spans="1:3" ht="15.75">
      <c r="A28" s="55">
        <v>23</v>
      </c>
      <c r="B28" s="56" t="s">
        <v>27</v>
      </c>
      <c r="C28" s="67"/>
    </row>
    <row r="29" spans="1:3" ht="15.75">
      <c r="A29" s="55">
        <v>24</v>
      </c>
      <c r="B29" s="56" t="s">
        <v>28</v>
      </c>
      <c r="C29" s="67"/>
    </row>
    <row r="30" spans="1:3" ht="15.75">
      <c r="A30" s="55">
        <v>25</v>
      </c>
      <c r="B30" s="56" t="s">
        <v>29</v>
      </c>
      <c r="C30" s="67">
        <v>2571.67</v>
      </c>
    </row>
    <row r="31" spans="1:3" ht="15.75">
      <c r="A31" s="55">
        <v>26</v>
      </c>
      <c r="B31" s="56" t="s">
        <v>30</v>
      </c>
      <c r="C31" s="67"/>
    </row>
    <row r="32" spans="1:3" ht="15.75">
      <c r="A32" s="55">
        <v>27</v>
      </c>
      <c r="B32" s="56" t="s">
        <v>40</v>
      </c>
      <c r="C32" s="67"/>
    </row>
    <row r="33" spans="1:3" ht="15.75">
      <c r="A33" s="55">
        <v>28</v>
      </c>
      <c r="B33" s="56" t="s">
        <v>41</v>
      </c>
      <c r="C33" s="67"/>
    </row>
    <row r="34" spans="1:3" ht="15.75">
      <c r="A34" s="55">
        <v>29</v>
      </c>
      <c r="B34" s="56" t="s">
        <v>42</v>
      </c>
      <c r="C34" s="67"/>
    </row>
    <row r="35" spans="1:3" ht="15.75">
      <c r="A35" s="55">
        <v>30</v>
      </c>
      <c r="B35" s="56" t="s">
        <v>44</v>
      </c>
      <c r="C35" s="67"/>
    </row>
    <row r="36" spans="1:3" ht="15.75">
      <c r="A36" s="55">
        <v>31</v>
      </c>
      <c r="B36" s="56" t="s">
        <v>45</v>
      </c>
      <c r="C36" s="67"/>
    </row>
    <row r="37" spans="1:3" ht="15.75">
      <c r="A37" s="55">
        <v>32</v>
      </c>
      <c r="B37" s="56" t="s">
        <v>47</v>
      </c>
      <c r="C37" s="67"/>
    </row>
    <row r="38" spans="1:3" ht="15.75">
      <c r="A38" s="55">
        <v>33</v>
      </c>
      <c r="B38" s="56" t="s">
        <v>60</v>
      </c>
      <c r="C38" s="67"/>
    </row>
    <row r="39" spans="1:3" ht="15.75">
      <c r="A39" s="55">
        <v>34</v>
      </c>
      <c r="B39" s="56" t="s">
        <v>61</v>
      </c>
      <c r="C39" s="67"/>
    </row>
    <row r="40" spans="1:3" ht="15.75">
      <c r="A40" s="57"/>
      <c r="B40" s="57" t="s">
        <v>31</v>
      </c>
      <c r="C40" s="67">
        <f>SUM(C6:C39)</f>
        <v>26547.97</v>
      </c>
    </row>
  </sheetData>
  <mergeCells count="2">
    <mergeCell ref="A3:G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2020-04-07T10:23:41Z</cp:lastPrinted>
  <dcterms:created xsi:type="dcterms:W3CDTF">2011-06-30T06:54:46Z</dcterms:created>
  <dcterms:modified xsi:type="dcterms:W3CDTF">2021-02-22T07:33:36Z</dcterms:modified>
  <cp:category/>
  <cp:version/>
  <cp:contentType/>
  <cp:contentStatus/>
</cp:coreProperties>
</file>